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J:\252xxx\252898-00\4.50_Reports\2019 Update\Reporting\"/>
    </mc:Choice>
  </mc:AlternateContent>
  <xr:revisionPtr revIDLastSave="0" documentId="13_ncr:1_{508BDFB6-A694-40AC-A2D5-858CECF0A684}" xr6:coauthVersionLast="44" xr6:coauthVersionMax="44" xr10:uidLastSave="{00000000-0000-0000-0000-000000000000}"/>
  <bookViews>
    <workbookView xWindow="-110" yWindow="-110" windowWidth="19420" windowHeight="10420" tabRatio="471" firstSheet="1" activeTab="2" xr2:uid="{00000000-000D-0000-FFFF-FFFF00000000}"/>
  </bookViews>
  <sheets>
    <sheet name="First 5yr Infrastructure" sheetId="1" state="hidden" r:id="rId1"/>
    <sheet name="Growth" sheetId="9" r:id="rId2"/>
    <sheet name="Plan Period Infrastructure" sheetId="2" r:id="rId3"/>
    <sheet name="CIL Forecast 2018" sheetId="8" r:id="rId4"/>
    <sheet name="CIL Forecast" sheetId="6" r:id="rId5"/>
    <sheet name="Assumption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2" l="1"/>
  <c r="C5" i="9" s="1"/>
  <c r="I27" i="2"/>
  <c r="I25" i="2"/>
  <c r="I26" i="2"/>
  <c r="T29" i="2" l="1"/>
  <c r="U29" i="2" s="1"/>
  <c r="R29" i="2"/>
  <c r="P29" i="2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5" i="2"/>
  <c r="U5" i="2" s="1"/>
  <c r="R6" i="2"/>
  <c r="S6" i="2" s="1"/>
  <c r="R7" i="2"/>
  <c r="S7" i="2" s="1"/>
  <c r="R8" i="2"/>
  <c r="S8" i="2" s="1"/>
  <c r="R9" i="2"/>
  <c r="S9" i="2" s="1"/>
  <c r="R10" i="2"/>
  <c r="S10" i="2" s="1"/>
  <c r="R11" i="2"/>
  <c r="S11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5" i="2"/>
  <c r="S5" i="2" s="1"/>
  <c r="P6" i="2" l="1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5" i="2"/>
  <c r="Q5" i="2" s="1"/>
  <c r="D4" i="9"/>
  <c r="D5" i="9"/>
  <c r="D6" i="9"/>
  <c r="D3" i="9"/>
  <c r="C7" i="9"/>
  <c r="C8" i="9" s="1"/>
  <c r="D8" i="9" s="1"/>
  <c r="D7" i="9" l="1"/>
  <c r="AK25" i="2"/>
  <c r="AD30" i="2"/>
  <c r="AE30" i="2"/>
  <c r="AE28" i="2"/>
  <c r="AD28" i="2"/>
  <c r="V13" i="2"/>
  <c r="W13" i="2" s="1"/>
  <c r="V14" i="2"/>
  <c r="W14" i="2" s="1"/>
  <c r="V15" i="2"/>
  <c r="W15" i="2" s="1"/>
  <c r="V16" i="2"/>
  <c r="W16" i="2" s="1"/>
  <c r="V17" i="2"/>
  <c r="W17" i="2" s="1"/>
  <c r="V18" i="2"/>
  <c r="W18" i="2" s="1"/>
  <c r="V19" i="2"/>
  <c r="W19" i="2" s="1"/>
  <c r="V20" i="2"/>
  <c r="W20" i="2" s="1"/>
  <c r="V21" i="2"/>
  <c r="W21" i="2" s="1"/>
  <c r="V22" i="2"/>
  <c r="W22" i="2" s="1"/>
  <c r="V23" i="2"/>
  <c r="W23" i="2" s="1"/>
  <c r="V24" i="2"/>
  <c r="W24" i="2" s="1"/>
  <c r="V25" i="2"/>
  <c r="W25" i="2" s="1"/>
  <c r="V7" i="2"/>
  <c r="W7" i="2" s="1"/>
  <c r="V8" i="2"/>
  <c r="W8" i="2" s="1"/>
  <c r="V9" i="2"/>
  <c r="W9" i="2" s="1"/>
  <c r="V10" i="2"/>
  <c r="W10" i="2" s="1"/>
  <c r="V11" i="2"/>
  <c r="W11" i="2" s="1"/>
  <c r="L25" i="2"/>
  <c r="M25" i="2" s="1"/>
  <c r="L11" i="2"/>
  <c r="M11" i="2" s="1"/>
  <c r="I15" i="2"/>
  <c r="AP15" i="2" s="1"/>
  <c r="AQ15" i="2" s="1"/>
  <c r="I16" i="2"/>
  <c r="AN16" i="2" s="1"/>
  <c r="AO16" i="2" s="1"/>
  <c r="I17" i="2"/>
  <c r="J17" i="2" s="1"/>
  <c r="K17" i="2" s="1"/>
  <c r="I18" i="2"/>
  <c r="J18" i="2" s="1"/>
  <c r="K18" i="2" s="1"/>
  <c r="I19" i="2"/>
  <c r="L19" i="2" s="1"/>
  <c r="M19" i="2" s="1"/>
  <c r="I20" i="2"/>
  <c r="AL20" i="2" s="1"/>
  <c r="AM20" i="2" s="1"/>
  <c r="I21" i="2"/>
  <c r="AL21" i="2" s="1"/>
  <c r="AM21" i="2" s="1"/>
  <c r="I22" i="2"/>
  <c r="Z22" i="2" s="1"/>
  <c r="AA22" i="2" s="1"/>
  <c r="I23" i="2"/>
  <c r="AP23" i="2" s="1"/>
  <c r="AQ23" i="2" s="1"/>
  <c r="I24" i="2"/>
  <c r="AN24" i="2" s="1"/>
  <c r="AO24" i="2" s="1"/>
  <c r="X25" i="2"/>
  <c r="Y25" i="2" s="1"/>
  <c r="I14" i="2"/>
  <c r="AP14" i="2" s="1"/>
  <c r="AQ14" i="2" s="1"/>
  <c r="I10" i="2"/>
  <c r="X10" i="2" s="1"/>
  <c r="Y10" i="2" s="1"/>
  <c r="I11" i="2"/>
  <c r="N11" i="2" s="1"/>
  <c r="O11" i="2" s="1"/>
  <c r="N17" i="2" l="1"/>
  <c r="O17" i="2" s="1"/>
  <c r="N21" i="2"/>
  <c r="O21" i="2" s="1"/>
  <c r="AH22" i="2"/>
  <c r="AI22" i="2" s="1"/>
  <c r="X15" i="2"/>
  <c r="Y15" i="2" s="1"/>
  <c r="AL18" i="2"/>
  <c r="AM18" i="2" s="1"/>
  <c r="AB11" i="2"/>
  <c r="AC11" i="2" s="1"/>
  <c r="J15" i="2"/>
  <c r="K15" i="2" s="1"/>
  <c r="X21" i="2"/>
  <c r="Y21" i="2" s="1"/>
  <c r="AL19" i="2"/>
  <c r="AM19" i="2" s="1"/>
  <c r="L22" i="2"/>
  <c r="M22" i="2" s="1"/>
  <c r="Z21" i="2"/>
  <c r="AA21" i="2" s="1"/>
  <c r="AH21" i="2"/>
  <c r="AI21" i="2" s="1"/>
  <c r="AN22" i="2"/>
  <c r="AO22" i="2" s="1"/>
  <c r="J24" i="2"/>
  <c r="K24" i="2" s="1"/>
  <c r="J23" i="2"/>
  <c r="K23" i="2" s="1"/>
  <c r="L21" i="2"/>
  <c r="M21" i="2" s="1"/>
  <c r="AB19" i="2"/>
  <c r="AC19" i="2" s="1"/>
  <c r="AH14" i="2"/>
  <c r="AI14" i="2" s="1"/>
  <c r="AN15" i="2"/>
  <c r="AO15" i="2" s="1"/>
  <c r="J22" i="2"/>
  <c r="K22" i="2" s="1"/>
  <c r="L18" i="2"/>
  <c r="M18" i="2" s="1"/>
  <c r="AB18" i="2"/>
  <c r="AC18" i="2" s="1"/>
  <c r="AJ19" i="2"/>
  <c r="AK19" i="2" s="1"/>
  <c r="AP22" i="2"/>
  <c r="AQ22" i="2" s="1"/>
  <c r="J21" i="2"/>
  <c r="K21" i="2" s="1"/>
  <c r="L17" i="2"/>
  <c r="M17" i="2" s="1"/>
  <c r="X23" i="2"/>
  <c r="Y23" i="2" s="1"/>
  <c r="AJ18" i="2"/>
  <c r="AK18" i="2" s="1"/>
  <c r="AP21" i="2"/>
  <c r="AQ21" i="2" s="1"/>
  <c r="AN23" i="2"/>
  <c r="AO23" i="2" s="1"/>
  <c r="J16" i="2"/>
  <c r="K16" i="2" s="1"/>
  <c r="L16" i="2"/>
  <c r="M16" i="2" s="1"/>
  <c r="X22" i="2"/>
  <c r="Y22" i="2" s="1"/>
  <c r="N20" i="2"/>
  <c r="O20" i="2" s="1"/>
  <c r="Z20" i="2"/>
  <c r="AA20" i="2" s="1"/>
  <c r="N19" i="2"/>
  <c r="O19" i="2" s="1"/>
  <c r="Z19" i="2"/>
  <c r="AA19" i="2" s="1"/>
  <c r="AB17" i="2"/>
  <c r="AC17" i="2" s="1"/>
  <c r="AH20" i="2"/>
  <c r="AI20" i="2" s="1"/>
  <c r="AJ17" i="2"/>
  <c r="AK17" i="2" s="1"/>
  <c r="AL11" i="2"/>
  <c r="AM11" i="2" s="1"/>
  <c r="AN11" i="2"/>
  <c r="AO11" i="2" s="1"/>
  <c r="AP11" i="2"/>
  <c r="AQ11" i="2" s="1"/>
  <c r="AL25" i="2"/>
  <c r="AL17" i="2"/>
  <c r="AM17" i="2" s="1"/>
  <c r="AN21" i="2"/>
  <c r="AO21" i="2" s="1"/>
  <c r="AP20" i="2"/>
  <c r="AQ20" i="2" s="1"/>
  <c r="N10" i="2"/>
  <c r="O10" i="2" s="1"/>
  <c r="L23" i="2"/>
  <c r="M23" i="2" s="1"/>
  <c r="L15" i="2"/>
  <c r="M15" i="2" s="1"/>
  <c r="N25" i="2"/>
  <c r="O25" i="2" s="1"/>
  <c r="N18" i="2"/>
  <c r="O18" i="2" s="1"/>
  <c r="X20" i="2"/>
  <c r="Y20" i="2" s="1"/>
  <c r="Z18" i="2"/>
  <c r="AA18" i="2" s="1"/>
  <c r="AB24" i="2"/>
  <c r="AC24" i="2" s="1"/>
  <c r="AB16" i="2"/>
  <c r="AC16" i="2" s="1"/>
  <c r="AH19" i="2"/>
  <c r="AI19" i="2" s="1"/>
  <c r="AJ11" i="2"/>
  <c r="AK11" i="2" s="1"/>
  <c r="AJ24" i="2"/>
  <c r="AK24" i="2" s="1"/>
  <c r="AJ16" i="2"/>
  <c r="AK16" i="2" s="1"/>
  <c r="AL10" i="2"/>
  <c r="AM10" i="2" s="1"/>
  <c r="AN10" i="2"/>
  <c r="AO10" i="2" s="1"/>
  <c r="AP10" i="2"/>
  <c r="AQ10" i="2" s="1"/>
  <c r="AL24" i="2"/>
  <c r="AM24" i="2" s="1"/>
  <c r="AL16" i="2"/>
  <c r="AM16" i="2" s="1"/>
  <c r="AN20" i="2"/>
  <c r="AO20" i="2" s="1"/>
  <c r="AP19" i="2"/>
  <c r="AQ19" i="2" s="1"/>
  <c r="AB10" i="2"/>
  <c r="AC10" i="2" s="1"/>
  <c r="X19" i="2"/>
  <c r="Y19" i="2" s="1"/>
  <c r="Z11" i="2"/>
  <c r="AA11" i="2" s="1"/>
  <c r="Z25" i="2"/>
  <c r="AA25" i="2" s="1"/>
  <c r="Z17" i="2"/>
  <c r="AA17" i="2" s="1"/>
  <c r="AB23" i="2"/>
  <c r="AC23" i="2" s="1"/>
  <c r="AB15" i="2"/>
  <c r="AC15" i="2" s="1"/>
  <c r="AH18" i="2"/>
  <c r="AI18" i="2" s="1"/>
  <c r="AJ10" i="2"/>
  <c r="AK10" i="2" s="1"/>
  <c r="AJ23" i="2"/>
  <c r="AK23" i="2" s="1"/>
  <c r="AJ15" i="2"/>
  <c r="AK15" i="2" s="1"/>
  <c r="AL23" i="2"/>
  <c r="AM23" i="2" s="1"/>
  <c r="AL15" i="2"/>
  <c r="AM15" i="2" s="1"/>
  <c r="AN19" i="2"/>
  <c r="AO19" i="2" s="1"/>
  <c r="AN25" i="2"/>
  <c r="AO25" i="2" s="1"/>
  <c r="AP18" i="2"/>
  <c r="AQ18" i="2" s="1"/>
  <c r="L24" i="2"/>
  <c r="M24" i="2" s="1"/>
  <c r="J20" i="2"/>
  <c r="K20" i="2" s="1"/>
  <c r="N24" i="2"/>
  <c r="O24" i="2" s="1"/>
  <c r="N16" i="2"/>
  <c r="O16" i="2" s="1"/>
  <c r="X18" i="2"/>
  <c r="Y18" i="2" s="1"/>
  <c r="Z10" i="2"/>
  <c r="AA10" i="2" s="1"/>
  <c r="Z24" i="2"/>
  <c r="AA24" i="2" s="1"/>
  <c r="Z16" i="2"/>
  <c r="AA16" i="2" s="1"/>
  <c r="AB22" i="2"/>
  <c r="AC22" i="2" s="1"/>
  <c r="AB25" i="2"/>
  <c r="AC25" i="2" s="1"/>
  <c r="AH11" i="2"/>
  <c r="AI11" i="2" s="1"/>
  <c r="AH25" i="2"/>
  <c r="AI25" i="2" s="1"/>
  <c r="AH17" i="2"/>
  <c r="AI17" i="2" s="1"/>
  <c r="AJ22" i="2"/>
  <c r="AK22" i="2" s="1"/>
  <c r="AJ14" i="2"/>
  <c r="AK14" i="2" s="1"/>
  <c r="AL22" i="2"/>
  <c r="AM22" i="2" s="1"/>
  <c r="AN18" i="2"/>
  <c r="AO18" i="2" s="1"/>
  <c r="AP25" i="2"/>
  <c r="AQ25" i="2" s="1"/>
  <c r="AP17" i="2"/>
  <c r="AQ17" i="2" s="1"/>
  <c r="J19" i="2"/>
  <c r="K19" i="2" s="1"/>
  <c r="J11" i="2"/>
  <c r="K11" i="2" s="1"/>
  <c r="J25" i="2"/>
  <c r="K25" i="2" s="1"/>
  <c r="L10" i="2"/>
  <c r="M10" i="2" s="1"/>
  <c r="L20" i="2"/>
  <c r="M20" i="2" s="1"/>
  <c r="N23" i="2"/>
  <c r="O23" i="2" s="1"/>
  <c r="N15" i="2"/>
  <c r="O15" i="2" s="1"/>
  <c r="X11" i="2"/>
  <c r="Y11" i="2" s="1"/>
  <c r="X17" i="2"/>
  <c r="Y17" i="2" s="1"/>
  <c r="Z23" i="2"/>
  <c r="AA23" i="2" s="1"/>
  <c r="Z15" i="2"/>
  <c r="AA15" i="2" s="1"/>
  <c r="AB21" i="2"/>
  <c r="AC21" i="2" s="1"/>
  <c r="AH10" i="2"/>
  <c r="AI10" i="2" s="1"/>
  <c r="AH24" i="2"/>
  <c r="AI24" i="2" s="1"/>
  <c r="AH16" i="2"/>
  <c r="AI16" i="2" s="1"/>
  <c r="AJ21" i="2"/>
  <c r="AK21" i="2" s="1"/>
  <c r="AN17" i="2"/>
  <c r="AO17" i="2" s="1"/>
  <c r="AP24" i="2"/>
  <c r="AQ24" i="2" s="1"/>
  <c r="AP16" i="2"/>
  <c r="AQ16" i="2" s="1"/>
  <c r="J10" i="2"/>
  <c r="K10" i="2" s="1"/>
  <c r="N22" i="2"/>
  <c r="O22" i="2" s="1"/>
  <c r="N14" i="2"/>
  <c r="O14" i="2" s="1"/>
  <c r="X24" i="2"/>
  <c r="Y24" i="2" s="1"/>
  <c r="X16" i="2"/>
  <c r="Y16" i="2" s="1"/>
  <c r="Z14" i="2"/>
  <c r="AA14" i="2" s="1"/>
  <c r="AB20" i="2"/>
  <c r="AC20" i="2" s="1"/>
  <c r="AH23" i="2"/>
  <c r="AI23" i="2" s="1"/>
  <c r="AH15" i="2"/>
  <c r="AI15" i="2" s="1"/>
  <c r="AJ20" i="2"/>
  <c r="AK20" i="2" s="1"/>
  <c r="L14" i="2"/>
  <c r="M14" i="2" s="1"/>
  <c r="AB14" i="2"/>
  <c r="AC14" i="2" s="1"/>
  <c r="J14" i="2"/>
  <c r="K14" i="2" s="1"/>
  <c r="AL14" i="2"/>
  <c r="AM14" i="2" s="1"/>
  <c r="AN14" i="2"/>
  <c r="AO14" i="2" s="1"/>
  <c r="X14" i="2"/>
  <c r="Y14" i="2" s="1"/>
  <c r="I17" i="8"/>
  <c r="I14" i="8" s="1"/>
  <c r="J14" i="8" s="1"/>
  <c r="F17" i="8"/>
  <c r="F15" i="8" s="1"/>
  <c r="G15" i="8" s="1"/>
  <c r="C17" i="8"/>
  <c r="C14" i="8" s="1"/>
  <c r="D14" i="8" s="1"/>
  <c r="AF30" i="2"/>
  <c r="AG30" i="2"/>
  <c r="H30" i="2"/>
  <c r="F26" i="8" s="1"/>
  <c r="AT24" i="2" l="1"/>
  <c r="AT21" i="2"/>
  <c r="AT25" i="2"/>
  <c r="AT23" i="2"/>
  <c r="AT15" i="2"/>
  <c r="AT18" i="2"/>
  <c r="AT17" i="2"/>
  <c r="AT16" i="2"/>
  <c r="AT11" i="2"/>
  <c r="AT19" i="2"/>
  <c r="AT20" i="2"/>
  <c r="AT10" i="2"/>
  <c r="AT14" i="2"/>
  <c r="R28" i="2"/>
  <c r="S28" i="2" s="1"/>
  <c r="T28" i="2"/>
  <c r="U28" i="2" s="1"/>
  <c r="P28" i="2"/>
  <c r="Q28" i="2" s="1"/>
  <c r="I8" i="8"/>
  <c r="I7" i="8" s="1"/>
  <c r="J7" i="8" s="1"/>
  <c r="C8" i="8"/>
  <c r="C5" i="8" s="1"/>
  <c r="D5" i="8" s="1"/>
  <c r="C15" i="8"/>
  <c r="D15" i="8" s="1"/>
  <c r="F16" i="8"/>
  <c r="G16" i="8" s="1"/>
  <c r="F14" i="8"/>
  <c r="G14" i="8" s="1"/>
  <c r="I15" i="8"/>
  <c r="J15" i="8" s="1"/>
  <c r="C16" i="8"/>
  <c r="D16" i="8" s="1"/>
  <c r="I16" i="8"/>
  <c r="J16" i="8" s="1"/>
  <c r="I28" i="2"/>
  <c r="V28" i="2"/>
  <c r="W28" i="2" s="1"/>
  <c r="F8" i="8"/>
  <c r="F5" i="8" s="1"/>
  <c r="G5" i="8" s="1"/>
  <c r="I26" i="8"/>
  <c r="C26" i="8"/>
  <c r="AL28" i="2" l="1"/>
  <c r="AM28" i="2" s="1"/>
  <c r="Z28" i="2"/>
  <c r="AA28" i="2" s="1"/>
  <c r="I6" i="8"/>
  <c r="J6" i="8" s="1"/>
  <c r="I24" i="8"/>
  <c r="J24" i="8" s="1"/>
  <c r="I5" i="8"/>
  <c r="J5" i="8" s="1"/>
  <c r="I23" i="8"/>
  <c r="J23" i="8" s="1"/>
  <c r="I25" i="8"/>
  <c r="J25" i="8" s="1"/>
  <c r="N28" i="2"/>
  <c r="O28" i="2" s="1"/>
  <c r="AB28" i="2"/>
  <c r="AC28" i="2" s="1"/>
  <c r="AP28" i="2"/>
  <c r="AQ28" i="2" s="1"/>
  <c r="D17" i="8"/>
  <c r="D18" i="8" s="1"/>
  <c r="C7" i="8"/>
  <c r="D7" i="8" s="1"/>
  <c r="J28" i="2"/>
  <c r="K28" i="2" s="1"/>
  <c r="X28" i="2"/>
  <c r="Y28" i="2" s="1"/>
  <c r="AN28" i="2"/>
  <c r="AO28" i="2" s="1"/>
  <c r="C23" i="8"/>
  <c r="D23" i="8" s="1"/>
  <c r="C6" i="8"/>
  <c r="D6" i="8" s="1"/>
  <c r="AH28" i="2"/>
  <c r="AI28" i="2" s="1"/>
  <c r="L28" i="2"/>
  <c r="M28" i="2" s="1"/>
  <c r="C25" i="8"/>
  <c r="D25" i="8" s="1"/>
  <c r="C24" i="8"/>
  <c r="D24" i="8" s="1"/>
  <c r="AJ28" i="2"/>
  <c r="AK28" i="2" s="1"/>
  <c r="G17" i="8"/>
  <c r="G18" i="8" s="1"/>
  <c r="J17" i="8"/>
  <c r="J18" i="8" s="1"/>
  <c r="F24" i="8"/>
  <c r="G24" i="8" s="1"/>
  <c r="F7" i="8"/>
  <c r="G7" i="8" s="1"/>
  <c r="F23" i="8"/>
  <c r="G23" i="8" s="1"/>
  <c r="F25" i="8"/>
  <c r="G25" i="8" s="1"/>
  <c r="F6" i="8"/>
  <c r="G6" i="8" s="1"/>
  <c r="J8" i="8" l="1"/>
  <c r="J9" i="8" s="1"/>
  <c r="J26" i="8"/>
  <c r="J27" i="8" s="1"/>
  <c r="D26" i="8"/>
  <c r="D27" i="8" s="1"/>
  <c r="D8" i="8"/>
  <c r="D9" i="8" s="1"/>
  <c r="AT28" i="2"/>
  <c r="G26" i="8"/>
  <c r="G27" i="8" s="1"/>
  <c r="G8" i="8"/>
  <c r="G9" i="8" s="1"/>
  <c r="G12" i="6"/>
  <c r="G13" i="6"/>
  <c r="G14" i="6"/>
  <c r="J14" i="6"/>
  <c r="D14" i="6"/>
  <c r="J13" i="6"/>
  <c r="D13" i="6"/>
  <c r="J12" i="6"/>
  <c r="D12" i="6"/>
  <c r="J5" i="6"/>
  <c r="J4" i="6"/>
  <c r="J3" i="6"/>
  <c r="G5" i="6"/>
  <c r="G4" i="6"/>
  <c r="G3" i="6"/>
  <c r="D5" i="6"/>
  <c r="D4" i="6"/>
  <c r="D3" i="6"/>
  <c r="J15" i="6" l="1"/>
  <c r="J16" i="6" s="1"/>
  <c r="G15" i="6"/>
  <c r="G16" i="6" s="1"/>
  <c r="D15" i="6"/>
  <c r="D16" i="6" s="1"/>
  <c r="J6" i="6"/>
  <c r="J7" i="6" s="1"/>
  <c r="D6" i="6"/>
  <c r="D7" i="6" s="1"/>
  <c r="G6" i="6"/>
  <c r="G7" i="6" s="1"/>
  <c r="I29" i="2" l="1"/>
  <c r="Q29" i="2"/>
  <c r="S29" i="2"/>
  <c r="V29" i="2"/>
  <c r="W29" i="2" s="1"/>
  <c r="G30" i="2"/>
  <c r="F30" i="2"/>
  <c r="E30" i="2"/>
  <c r="J29" i="2" l="1"/>
  <c r="K29" i="2" s="1"/>
  <c r="AJ29" i="2"/>
  <c r="AK29" i="2" s="1"/>
  <c r="X29" i="2"/>
  <c r="Y29" i="2" s="1"/>
  <c r="AP29" i="2"/>
  <c r="AQ29" i="2" s="1"/>
  <c r="AN29" i="2"/>
  <c r="AL29" i="2"/>
  <c r="AH29" i="2"/>
  <c r="AB29" i="2"/>
  <c r="AC29" i="2" s="1"/>
  <c r="Z29" i="2"/>
  <c r="AA29" i="2" s="1"/>
  <c r="N29" i="2"/>
  <c r="L29" i="2"/>
  <c r="AM29" i="2" l="1"/>
  <c r="M29" i="2"/>
  <c r="AO29" i="2"/>
  <c r="O29" i="2"/>
  <c r="AI29" i="2"/>
  <c r="AT29" i="2" l="1"/>
  <c r="I6" i="2" l="1"/>
  <c r="AL6" i="2" s="1"/>
  <c r="AM6" i="2" s="1"/>
  <c r="I7" i="2"/>
  <c r="I8" i="2"/>
  <c r="I9" i="2"/>
  <c r="I12" i="2"/>
  <c r="AL12" i="2" s="1"/>
  <c r="AM12" i="2" s="1"/>
  <c r="I13" i="2"/>
  <c r="I5" i="2"/>
  <c r="V12" i="2"/>
  <c r="W12" i="2" s="1"/>
  <c r="V6" i="2"/>
  <c r="W6" i="2" s="1"/>
  <c r="V5" i="2"/>
  <c r="W5" i="2" s="1"/>
  <c r="D10" i="1"/>
  <c r="J6" i="1"/>
  <c r="K6" i="1" s="1"/>
  <c r="J7" i="1"/>
  <c r="K7" i="1" s="1"/>
  <c r="J8" i="1"/>
  <c r="J9" i="1"/>
  <c r="X9" i="1" s="1"/>
  <c r="Y9" i="1" s="1"/>
  <c r="J5" i="1"/>
  <c r="K5" i="1" s="1"/>
  <c r="F10" i="1"/>
  <c r="G10" i="1"/>
  <c r="H10" i="1"/>
  <c r="I10" i="1"/>
  <c r="E10" i="1"/>
  <c r="J10" i="1" l="1"/>
  <c r="X8" i="1"/>
  <c r="Y8" i="1" s="1"/>
  <c r="X7" i="1"/>
  <c r="Y7" i="1" s="1"/>
  <c r="T6" i="1"/>
  <c r="U6" i="1" s="1"/>
  <c r="T7" i="1"/>
  <c r="U7" i="1" s="1"/>
  <c r="R6" i="1"/>
  <c r="S6" i="1" s="1"/>
  <c r="V6" i="1"/>
  <c r="W6" i="1" s="1"/>
  <c r="T5" i="1"/>
  <c r="U5" i="1" s="1"/>
  <c r="R7" i="1"/>
  <c r="S7" i="1" s="1"/>
  <c r="R5" i="1"/>
  <c r="S5" i="1" s="1"/>
  <c r="X6" i="1"/>
  <c r="Y6" i="1" s="1"/>
  <c r="V7" i="1"/>
  <c r="W7" i="1" s="1"/>
  <c r="AJ7" i="2"/>
  <c r="AK7" i="2" s="1"/>
  <c r="AP7" i="2"/>
  <c r="AQ7" i="2" s="1"/>
  <c r="AN7" i="2"/>
  <c r="AO7" i="2" s="1"/>
  <c r="AL7" i="2"/>
  <c r="AM7" i="2" s="1"/>
  <c r="AH7" i="2"/>
  <c r="AI7" i="2" s="1"/>
  <c r="J7" i="2"/>
  <c r="K7" i="2" s="1"/>
  <c r="X7" i="2"/>
  <c r="Y7" i="2" s="1"/>
  <c r="AH9" i="2"/>
  <c r="AI9" i="2" s="1"/>
  <c r="J9" i="2"/>
  <c r="K9" i="2" s="1"/>
  <c r="AJ9" i="2"/>
  <c r="AK9" i="2" s="1"/>
  <c r="X9" i="2"/>
  <c r="Y9" i="2" s="1"/>
  <c r="AP9" i="2"/>
  <c r="AQ9" i="2" s="1"/>
  <c r="AN9" i="2"/>
  <c r="AO9" i="2" s="1"/>
  <c r="AL9" i="2"/>
  <c r="AM9" i="2" s="1"/>
  <c r="AH8" i="2"/>
  <c r="AI8" i="2" s="1"/>
  <c r="AN8" i="2"/>
  <c r="AO8" i="2" s="1"/>
  <c r="AL8" i="2"/>
  <c r="AM8" i="2" s="1"/>
  <c r="J8" i="2"/>
  <c r="K8" i="2" s="1"/>
  <c r="X8" i="2"/>
  <c r="Y8" i="2" s="1"/>
  <c r="AP8" i="2"/>
  <c r="AQ8" i="2" s="1"/>
  <c r="AJ8" i="2"/>
  <c r="AK8" i="2" s="1"/>
  <c r="Z5" i="2"/>
  <c r="AA5" i="2" s="1"/>
  <c r="J5" i="2"/>
  <c r="K5" i="2" s="1"/>
  <c r="AL13" i="2"/>
  <c r="AM13" i="2" s="1"/>
  <c r="AB13" i="2"/>
  <c r="AC13" i="2" s="1"/>
  <c r="J13" i="2"/>
  <c r="K13" i="2" s="1"/>
  <c r="AH13" i="2"/>
  <c r="AI13" i="2" s="1"/>
  <c r="X13" i="2"/>
  <c r="Y13" i="2" s="1"/>
  <c r="N13" i="2"/>
  <c r="O13" i="2" s="1"/>
  <c r="AN13" i="2"/>
  <c r="AO13" i="2" s="1"/>
  <c r="AP13" i="2"/>
  <c r="AQ13" i="2" s="1"/>
  <c r="AJ13" i="2"/>
  <c r="AK13" i="2" s="1"/>
  <c r="Z13" i="2"/>
  <c r="AA13" i="2" s="1"/>
  <c r="L13" i="2"/>
  <c r="M13" i="2" s="1"/>
  <c r="AH5" i="1"/>
  <c r="L5" i="1"/>
  <c r="AN5" i="1"/>
  <c r="AJ5" i="1"/>
  <c r="AF5" i="1"/>
  <c r="N5" i="1"/>
  <c r="Z5" i="1"/>
  <c r="AL5" i="1"/>
  <c r="AD5" i="1"/>
  <c r="AB5" i="1"/>
  <c r="P5" i="1"/>
  <c r="Z7" i="1"/>
  <c r="AA7" i="1" s="1"/>
  <c r="AF7" i="1"/>
  <c r="AG7" i="1" s="1"/>
  <c r="L7" i="1"/>
  <c r="M7" i="1" s="1"/>
  <c r="N7" i="1"/>
  <c r="O7" i="1" s="1"/>
  <c r="AL7" i="1"/>
  <c r="AM7" i="1" s="1"/>
  <c r="AD7" i="1"/>
  <c r="AE7" i="1" s="1"/>
  <c r="AB7" i="1"/>
  <c r="AC7" i="1" s="1"/>
  <c r="P7" i="1"/>
  <c r="Q7" i="1" s="1"/>
  <c r="AN7" i="1"/>
  <c r="AO7" i="1" s="1"/>
  <c r="AJ7" i="1"/>
  <c r="AK7" i="1" s="1"/>
  <c r="AH7" i="1"/>
  <c r="AI7" i="1" s="1"/>
  <c r="AJ6" i="1"/>
  <c r="AK6" i="1" s="1"/>
  <c r="AN6" i="1"/>
  <c r="AO6" i="1" s="1"/>
  <c r="N6" i="1"/>
  <c r="O6" i="1" s="1"/>
  <c r="AL6" i="1"/>
  <c r="AM6" i="1" s="1"/>
  <c r="P6" i="1"/>
  <c r="Q6" i="1" s="1"/>
  <c r="AH6" i="1"/>
  <c r="AI6" i="1" s="1"/>
  <c r="L6" i="1"/>
  <c r="M6" i="1" s="1"/>
  <c r="AD6" i="1"/>
  <c r="AE6" i="1" s="1"/>
  <c r="Z6" i="1"/>
  <c r="AA6" i="1" s="1"/>
  <c r="AB6" i="1"/>
  <c r="AC6" i="1" s="1"/>
  <c r="AF6" i="1"/>
  <c r="AG6" i="1" s="1"/>
  <c r="K9" i="1"/>
  <c r="R8" i="1"/>
  <c r="T9" i="1"/>
  <c r="U9" i="1" s="1"/>
  <c r="K8" i="1"/>
  <c r="V9" i="1"/>
  <c r="W9" i="1" s="1"/>
  <c r="V5" i="1"/>
  <c r="R9" i="1"/>
  <c r="S9" i="1" s="1"/>
  <c r="T8" i="1"/>
  <c r="U8" i="1" s="1"/>
  <c r="X5" i="1"/>
  <c r="V8" i="1"/>
  <c r="W8" i="1" s="1"/>
  <c r="AH6" i="2"/>
  <c r="AI6" i="2" s="1"/>
  <c r="N6" i="2"/>
  <c r="O6" i="2" s="1"/>
  <c r="L8" i="2"/>
  <c r="M8" i="2" s="1"/>
  <c r="Z9" i="2"/>
  <c r="AA9" i="2" s="1"/>
  <c r="AB7" i="2"/>
  <c r="AC7" i="2" s="1"/>
  <c r="L6" i="2"/>
  <c r="M6" i="2" s="1"/>
  <c r="J6" i="2"/>
  <c r="K6" i="2" s="1"/>
  <c r="Z8" i="2"/>
  <c r="AA8" i="2" s="1"/>
  <c r="L5" i="2"/>
  <c r="M5" i="2" s="1"/>
  <c r="AB6" i="2"/>
  <c r="AC6" i="2" s="1"/>
  <c r="Z6" i="2"/>
  <c r="AA6" i="2" s="1"/>
  <c r="L7" i="2"/>
  <c r="M7" i="2" s="1"/>
  <c r="AJ5" i="2"/>
  <c r="AK5" i="2" s="1"/>
  <c r="X5" i="2"/>
  <c r="Y5" i="2" s="1"/>
  <c r="AN5" i="2"/>
  <c r="AO5" i="2" s="1"/>
  <c r="AP5" i="2"/>
  <c r="AQ5" i="2" s="1"/>
  <c r="I30" i="2"/>
  <c r="AB5" i="2"/>
  <c r="AC5" i="2" s="1"/>
  <c r="AL5" i="2"/>
  <c r="AM5" i="2" s="1"/>
  <c r="AH5" i="2"/>
  <c r="AI5" i="2" s="1"/>
  <c r="N5" i="2"/>
  <c r="O5" i="2" s="1"/>
  <c r="Z7" i="2"/>
  <c r="AA7" i="2" s="1"/>
  <c r="N7" i="2"/>
  <c r="O7" i="2" s="1"/>
  <c r="S30" i="2"/>
  <c r="R30" i="2"/>
  <c r="T30" i="2"/>
  <c r="P30" i="2"/>
  <c r="W30" i="2"/>
  <c r="V30" i="2"/>
  <c r="AJ12" i="2"/>
  <c r="AK12" i="2" s="1"/>
  <c r="X12" i="2"/>
  <c r="Y12" i="2" s="1"/>
  <c r="AN12" i="2"/>
  <c r="AO12" i="2" s="1"/>
  <c r="AP12" i="2"/>
  <c r="AQ12" i="2" s="1"/>
  <c r="L9" i="2"/>
  <c r="M9" i="2" s="1"/>
  <c r="AJ6" i="2"/>
  <c r="X6" i="2"/>
  <c r="AP6" i="2"/>
  <c r="AN6" i="2"/>
  <c r="AH12" i="2"/>
  <c r="AI12" i="2" s="1"/>
  <c r="J12" i="2"/>
  <c r="K12" i="2" s="1"/>
  <c r="N12" i="2"/>
  <c r="O12" i="2" s="1"/>
  <c r="Z12" i="2"/>
  <c r="AA12" i="2" s="1"/>
  <c r="L12" i="2"/>
  <c r="M12" i="2" s="1"/>
  <c r="AB12" i="2"/>
  <c r="AC12" i="2" s="1"/>
  <c r="AB9" i="2"/>
  <c r="AC9" i="2" s="1"/>
  <c r="N9" i="2"/>
  <c r="O9" i="2" s="1"/>
  <c r="N8" i="2"/>
  <c r="O8" i="2" s="1"/>
  <c r="AB8" i="2"/>
  <c r="AC8" i="2" s="1"/>
  <c r="U10" i="1" l="1"/>
  <c r="K10" i="1"/>
  <c r="AT5" i="2"/>
  <c r="AT12" i="2"/>
  <c r="AT13" i="2"/>
  <c r="O5" i="1"/>
  <c r="Y5" i="1"/>
  <c r="Y10" i="1" s="1"/>
  <c r="X10" i="1"/>
  <c r="AF9" i="1"/>
  <c r="AG9" i="1" s="1"/>
  <c r="AD9" i="1"/>
  <c r="AE9" i="1" s="1"/>
  <c r="L9" i="1"/>
  <c r="M9" i="1" s="1"/>
  <c r="AL9" i="1"/>
  <c r="AM9" i="1" s="1"/>
  <c r="AJ9" i="1"/>
  <c r="AK9" i="1" s="1"/>
  <c r="AN9" i="1"/>
  <c r="AO9" i="1" s="1"/>
  <c r="AB9" i="1"/>
  <c r="AC9" i="1" s="1"/>
  <c r="N9" i="1"/>
  <c r="O9" i="1" s="1"/>
  <c r="AH9" i="1"/>
  <c r="AI9" i="1" s="1"/>
  <c r="Z9" i="1"/>
  <c r="AA9" i="1" s="1"/>
  <c r="P9" i="1"/>
  <c r="Q9" i="1" s="1"/>
  <c r="T10" i="1"/>
  <c r="AK5" i="1"/>
  <c r="AG5" i="1"/>
  <c r="Q5" i="1"/>
  <c r="AN10" i="1"/>
  <c r="AO5" i="1"/>
  <c r="AC5" i="1"/>
  <c r="M5" i="1"/>
  <c r="V10" i="1"/>
  <c r="W5" i="1"/>
  <c r="W10" i="1" s="1"/>
  <c r="AD10" i="1"/>
  <c r="AE5" i="1"/>
  <c r="AE10" i="1" s="1"/>
  <c r="S8" i="1"/>
  <c r="S10" i="1" s="1"/>
  <c r="R10" i="1"/>
  <c r="AR7" i="1"/>
  <c r="AM5" i="1"/>
  <c r="AH10" i="1"/>
  <c r="AI5" i="1"/>
  <c r="AL8" i="1"/>
  <c r="AM8" i="1" s="1"/>
  <c r="AJ8" i="1"/>
  <c r="AK8" i="1" s="1"/>
  <c r="AF8" i="1"/>
  <c r="AG8" i="1" s="1"/>
  <c r="AD8" i="1"/>
  <c r="AE8" i="1" s="1"/>
  <c r="P8" i="1"/>
  <c r="Q8" i="1" s="1"/>
  <c r="AN8" i="1"/>
  <c r="AO8" i="1" s="1"/>
  <c r="AH8" i="1"/>
  <c r="AI8" i="1" s="1"/>
  <c r="N8" i="1"/>
  <c r="O8" i="1" s="1"/>
  <c r="Z8" i="1"/>
  <c r="AA8" i="1" s="1"/>
  <c r="AB8" i="1"/>
  <c r="AC8" i="1" s="1"/>
  <c r="L8" i="1"/>
  <c r="M8" i="1" s="1"/>
  <c r="AR6" i="1"/>
  <c r="AA5" i="1"/>
  <c r="AT7" i="2"/>
  <c r="AT9" i="2"/>
  <c r="L30" i="2"/>
  <c r="AT8" i="2"/>
  <c r="Q30" i="2"/>
  <c r="U30" i="2"/>
  <c r="K30" i="2"/>
  <c r="J30" i="2"/>
  <c r="AN30" i="2"/>
  <c r="AA30" i="2"/>
  <c r="Z30" i="2"/>
  <c r="N30" i="2"/>
  <c r="AJ30" i="2"/>
  <c r="AC30" i="2"/>
  <c r="AB30" i="2"/>
  <c r="AI30" i="2"/>
  <c r="AH30" i="2"/>
  <c r="AP30" i="2"/>
  <c r="AM30" i="2"/>
  <c r="AL30" i="2"/>
  <c r="X30" i="2"/>
  <c r="AQ6" i="2"/>
  <c r="Y6" i="2"/>
  <c r="AO6" i="2"/>
  <c r="AK6" i="2"/>
  <c r="AI10" i="1" l="1"/>
  <c r="AO10" i="1"/>
  <c r="AT6" i="2"/>
  <c r="AT30" i="2" s="1"/>
  <c r="W32" i="2"/>
  <c r="Q10" i="1"/>
  <c r="AA10" i="1"/>
  <c r="AL10" i="1"/>
  <c r="P10" i="1"/>
  <c r="Z10" i="1"/>
  <c r="AM10" i="1"/>
  <c r="L10" i="1"/>
  <c r="AF10" i="1"/>
  <c r="AR5" i="1"/>
  <c r="M10" i="1"/>
  <c r="AG10" i="1"/>
  <c r="AR8" i="1"/>
  <c r="AB10" i="1"/>
  <c r="AJ10" i="1"/>
  <c r="N10" i="1"/>
  <c r="AR9" i="1"/>
  <c r="AC10" i="1"/>
  <c r="AK10" i="1"/>
  <c r="O10" i="1"/>
  <c r="M30" i="2"/>
  <c r="O30" i="2"/>
  <c r="Y30" i="2"/>
  <c r="AC32" i="2" s="1"/>
  <c r="AQ30" i="2"/>
  <c r="AK30" i="2"/>
  <c r="AK32" i="2" s="1"/>
  <c r="AO30" i="2"/>
  <c r="AO32" i="2" l="1"/>
  <c r="AR10" i="1"/>
  <c r="O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Ingleby</author>
  </authors>
  <commentList>
    <comment ref="H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David Ingleby:</t>
        </r>
        <r>
          <rPr>
            <sz val="9"/>
            <color indexed="81"/>
            <rFont val="Tahoma"/>
            <family val="2"/>
          </rPr>
          <t xml:space="preserve">
The range is 200 to 300 units so I've put in 250.</t>
        </r>
      </text>
    </comment>
  </commentList>
</comments>
</file>

<file path=xl/sharedStrings.xml><?xml version="1.0" encoding="utf-8"?>
<sst xmlns="http://schemas.openxmlformats.org/spreadsheetml/2006/main" count="484" uniqueCount="221">
  <si>
    <t>Additional Allocations</t>
  </si>
  <si>
    <t>Winnycroft</t>
  </si>
  <si>
    <t>West Cheltenham</t>
  </si>
  <si>
    <t>Twigworth</t>
  </si>
  <si>
    <t>Fiddington</t>
  </si>
  <si>
    <t>Mitton Phases 1 &amp; 2 (Wychavon District)</t>
  </si>
  <si>
    <t>Sub-total</t>
  </si>
  <si>
    <t>JCS Proposed Residential Development Allocations and Phasing</t>
  </si>
  <si>
    <t>JCS Sub-area</t>
  </si>
  <si>
    <t>2016-2021</t>
  </si>
  <si>
    <t>Population</t>
  </si>
  <si>
    <t>Community Centres</t>
  </si>
  <si>
    <t>Community Libraries</t>
  </si>
  <si>
    <t>Community Youth Support</t>
  </si>
  <si>
    <t>Demand (sqm)</t>
  </si>
  <si>
    <t>Cost</t>
  </si>
  <si>
    <t>Healthcare - GPs</t>
  </si>
  <si>
    <t>Healthcare - Dentists</t>
  </si>
  <si>
    <t>Healthcare - Acute</t>
  </si>
  <si>
    <t>Service cost/annum</t>
  </si>
  <si>
    <t>Service Cost/ 5 years</t>
  </si>
  <si>
    <t>Community (2016-2021)</t>
  </si>
  <si>
    <t>Healthcare (2016-2021)</t>
  </si>
  <si>
    <t>Sports - Playing Pitches</t>
  </si>
  <si>
    <t>Sports Facilities (2016-2021)</t>
  </si>
  <si>
    <t>Sports - Outdoor Sports</t>
  </si>
  <si>
    <t>Demand (ha)</t>
  </si>
  <si>
    <t>Demand (beds)</t>
  </si>
  <si>
    <t>Demand (Dentists)</t>
  </si>
  <si>
    <t>Demand (GPs)</t>
  </si>
  <si>
    <t>Open Space (2016-2021)</t>
  </si>
  <si>
    <t>Open Space - Informal</t>
  </si>
  <si>
    <t>Open Space - Natural</t>
  </si>
  <si>
    <t>JCS Period Delivery (2016-2031)</t>
  </si>
  <si>
    <t>2021-2026</t>
  </si>
  <si>
    <t>2026-2031</t>
  </si>
  <si>
    <t>Sports - Swimming Pools</t>
  </si>
  <si>
    <t>Sports - Sports Halls</t>
  </si>
  <si>
    <t>Demand (pools)</t>
  </si>
  <si>
    <t>Demand (halls)</t>
  </si>
  <si>
    <t>Community Total</t>
  </si>
  <si>
    <t>Healthcare Total</t>
  </si>
  <si>
    <t>Open Space Total</t>
  </si>
  <si>
    <t>Sports Facilities Total</t>
  </si>
  <si>
    <t>Total Infrastructure Cost</t>
  </si>
  <si>
    <t>Community (2016-2031)</t>
  </si>
  <si>
    <t>Service Cost/ 15 years</t>
  </si>
  <si>
    <t>Healthcare (2016-2031)</t>
  </si>
  <si>
    <t>Sports Facilities (2016-2031)</t>
  </si>
  <si>
    <t>Open Space (2016-2031)</t>
  </si>
  <si>
    <t>Mitton (Wychavon District)</t>
  </si>
  <si>
    <t>Proposed Residential Allocations</t>
  </si>
  <si>
    <t>Total</t>
  </si>
  <si>
    <t>Infrastructure Cost (2016-2021)</t>
  </si>
  <si>
    <t>NB: Due to low level of demand, demand/ cost for Swimming Pools and Sports Halls has only been calculated across the whole plan period.</t>
  </si>
  <si>
    <t>Assumptions</t>
  </si>
  <si>
    <t>Benchmarks</t>
  </si>
  <si>
    <t xml:space="preserve">Community Centres </t>
  </si>
  <si>
    <t>Libraries</t>
  </si>
  <si>
    <t>Youth Support</t>
  </si>
  <si>
    <t>Education Early Years</t>
  </si>
  <si>
    <t xml:space="preserve">Education Primary </t>
  </si>
  <si>
    <t>Education Secondary (11-16)</t>
  </si>
  <si>
    <t>Healthcare GPs</t>
  </si>
  <si>
    <t>Healthcare Dentists</t>
  </si>
  <si>
    <t>Healthcare Acute</t>
  </si>
  <si>
    <t xml:space="preserve">Swimming </t>
  </si>
  <si>
    <t>Sports Halls</t>
  </si>
  <si>
    <t>Playing Pitches</t>
  </si>
  <si>
    <t>Play Space</t>
  </si>
  <si>
    <t>Open Space Informal</t>
  </si>
  <si>
    <t>Open Space Natural</t>
  </si>
  <si>
    <t>£9.75 per m2</t>
  </si>
  <si>
    <t>£495,000 per Ha</t>
  </si>
  <si>
    <t xml:space="preserve">£17,000 per Ha </t>
  </si>
  <si>
    <t xml:space="preserve">£240,000 per Ha </t>
  </si>
  <si>
    <t>£1,500 per m2</t>
  </si>
  <si>
    <t>£3,800 per m2</t>
  </si>
  <si>
    <t>Open Space - Play Space</t>
  </si>
  <si>
    <t>Demand</t>
  </si>
  <si>
    <t>645m2 per 4000 population</t>
  </si>
  <si>
    <t>30m2 per 1000 population</t>
  </si>
  <si>
    <t>£21,000 p.a. per 1000  population</t>
  </si>
  <si>
    <t>1.2ha per 1000 population</t>
  </si>
  <si>
    <t>0.25ha per 1000 population</t>
  </si>
  <si>
    <t>Education (2016-2021</t>
  </si>
  <si>
    <t>Education - Early Years</t>
  </si>
  <si>
    <t>Education - Primary</t>
  </si>
  <si>
    <t>Education - Further</t>
  </si>
  <si>
    <t>Education - Secondary (inc. 6th Form)</t>
  </si>
  <si>
    <t>Education Total</t>
  </si>
  <si>
    <t>13.8 pupils per 100 dwellings</t>
  </si>
  <si>
    <t>£12,359 per pupil</t>
  </si>
  <si>
    <t>30 pupils per 100 dwellings</t>
  </si>
  <si>
    <t xml:space="preserve">Education - Secondary </t>
  </si>
  <si>
    <t>Education - Post 16</t>
  </si>
  <si>
    <t xml:space="preserve">Education Post 16 </t>
  </si>
  <si>
    <t>16.5 pupils per 100 dwellings</t>
  </si>
  <si>
    <t>5.5 pupils per 100 dwellings</t>
  </si>
  <si>
    <t>£18,848 per pupil</t>
  </si>
  <si>
    <t>Education (2016-2021)</t>
  </si>
  <si>
    <t>Allocations</t>
  </si>
  <si>
    <t>Demand (places)</t>
  </si>
  <si>
    <t>Active Places Power Sports Facility Calculator</t>
  </si>
  <si>
    <t>Barnwood Manor, Barnwood Road</t>
  </si>
  <si>
    <t>67-69 London Road</t>
  </si>
  <si>
    <t>Wessex House, off Great Weston Road</t>
  </si>
  <si>
    <t>Gloucester City Proposed Residential Development Allocations and Phasing</t>
  </si>
  <si>
    <t>Land at St Oswalds</t>
  </si>
  <si>
    <t>Gloucester City Site Allocations</t>
  </si>
  <si>
    <t>SA01</t>
  </si>
  <si>
    <t>SA02</t>
  </si>
  <si>
    <t>SA04</t>
  </si>
  <si>
    <t>SA05</t>
  </si>
  <si>
    <t>SA06</t>
  </si>
  <si>
    <t>SA07</t>
  </si>
  <si>
    <t>SA08</t>
  </si>
  <si>
    <t>SA09</t>
  </si>
  <si>
    <t>SA10</t>
  </si>
  <si>
    <t>SA11</t>
  </si>
  <si>
    <t>SA13</t>
  </si>
  <si>
    <t>SA14</t>
  </si>
  <si>
    <t>SA15</t>
  </si>
  <si>
    <t>SA16</t>
  </si>
  <si>
    <t>SA17</t>
  </si>
  <si>
    <t>SA18</t>
  </si>
  <si>
    <t>SA20</t>
  </si>
  <si>
    <t>SA23</t>
  </si>
  <si>
    <t>Ref</t>
  </si>
  <si>
    <t>Ward</t>
  </si>
  <si>
    <t>Size/Area (ha)</t>
  </si>
  <si>
    <t>Abbeydale</t>
  </si>
  <si>
    <t>Barnwood</t>
  </si>
  <si>
    <t>Elmbridge</t>
  </si>
  <si>
    <t>Kingsholm &amp; Wotton</t>
  </si>
  <si>
    <t>Matson &amp; Robinswood</t>
  </si>
  <si>
    <t>Quedgeley Fieldcourt</t>
  </si>
  <si>
    <t>Westgate (City Centre)</t>
  </si>
  <si>
    <t>Westgate (North)</t>
  </si>
  <si>
    <t>Westgate (South)</t>
  </si>
  <si>
    <t>Delivery Period (2016-2031)</t>
  </si>
  <si>
    <t xml:space="preserve">Great Western Road Sidings </t>
  </si>
  <si>
    <t>Kings Quarter</t>
  </si>
  <si>
    <t>Average Household Size in Gloucester ONS 2011 Census</t>
  </si>
  <si>
    <t>All Usual Residents in Households (Persons)1</t>
  </si>
  <si>
    <t xml:space="preserve">All Dwellings (Dwellings)1 </t>
  </si>
  <si>
    <t xml:space="preserve">or </t>
  </si>
  <si>
    <t xml:space="preserve">explained in IDP main report text </t>
  </si>
  <si>
    <t xml:space="preserve">Fields in Trust (2015) Guidance for Outdoor Sport and Play </t>
  </si>
  <si>
    <t>Active Places Power Sports Facility Calculator (2017)</t>
  </si>
  <si>
    <t>Shaping Neighbourhoods (2003) / Sport England (2001)</t>
  </si>
  <si>
    <t>Museums, Libraries and Archives Council benchmark standards (2011)</t>
  </si>
  <si>
    <t>NHS London Healthy Urban Developments Unit model</t>
  </si>
  <si>
    <t>0.55ha per 1000 population</t>
  </si>
  <si>
    <t>1.8ha per 1000 population</t>
  </si>
  <si>
    <t xml:space="preserve">Gloucester </t>
  </si>
  <si>
    <t>N/A</t>
  </si>
  <si>
    <t xml:space="preserve">Windfall Allowance </t>
  </si>
  <si>
    <t>1 GP per 1800 population
130m2 per GP</t>
  </si>
  <si>
    <t>£1750 per m2</t>
  </si>
  <si>
    <t>1 dentist per 2000 population
130m2 per dentist</t>
  </si>
  <si>
    <t>1.8 beds per 1000 population 50m2 per bed</t>
  </si>
  <si>
    <t>£2,390 per m2</t>
  </si>
  <si>
    <t xml:space="preserve">Scenario 1 </t>
  </si>
  <si>
    <t>Scenario 2</t>
  </si>
  <si>
    <t xml:space="preserve">1 Story 1 bed flat – 50sqm </t>
  </si>
  <si>
    <t xml:space="preserve">2 Story 2 bedroom house – 70sqm </t>
  </si>
  <si>
    <t xml:space="preserve">2 Story 3 bedroom house – 93sqm  </t>
  </si>
  <si>
    <t>Dwellings</t>
  </si>
  <si>
    <t>Sqm</t>
  </si>
  <si>
    <t xml:space="preserve">CIL funds </t>
  </si>
  <si>
    <t>Total Sqm</t>
  </si>
  <si>
    <t xml:space="preserve">Sqm </t>
  </si>
  <si>
    <t>Percentage</t>
  </si>
  <si>
    <t xml:space="preserve">Percentage </t>
  </si>
  <si>
    <t xml:space="preserve">All Other Outdoor Sport </t>
  </si>
  <si>
    <t>0.4ha per 1000 population</t>
  </si>
  <si>
    <t>£96.10 per m2</t>
  </si>
  <si>
    <t>Fields in Trust (2015) Guidance for Outdoor Sport and Play and</t>
  </si>
  <si>
    <t>Windfall Allowance</t>
  </si>
  <si>
    <t>Scenario 3</t>
  </si>
  <si>
    <t>CIL FORECAST - SITE ALLOCATIONS</t>
  </si>
  <si>
    <t>CIL Forecast</t>
  </si>
  <si>
    <t>Floorspace (m2)</t>
  </si>
  <si>
    <t>CIL FORECAST - WINDFALL</t>
  </si>
  <si>
    <t>CIL FORECAST - TOTAL</t>
  </si>
  <si>
    <t>Benchmarks provided by GCC Education Spring 2016</t>
  </si>
  <si>
    <t>Source</t>
  </si>
  <si>
    <t>SA03</t>
  </si>
  <si>
    <t>Podsmead</t>
  </si>
  <si>
    <t>Blackbridge Sports Hub</t>
  </si>
  <si>
    <t>Lynton Fields</t>
  </si>
  <si>
    <t>Greater Blackfriars - former Quayside</t>
  </si>
  <si>
    <t>SA12</t>
  </si>
  <si>
    <t>Land adjacent to Eastgate Shopping Centre</t>
  </si>
  <si>
    <t>Land at Rea Lane</t>
  </si>
  <si>
    <t>SA19</t>
  </si>
  <si>
    <t>SA21</t>
  </si>
  <si>
    <t>SA22</t>
  </si>
  <si>
    <t>Barton &amp; Tredworth</t>
  </si>
  <si>
    <t>Westgate</t>
  </si>
  <si>
    <t>Former Colwell Youth &amp; Community Centre</t>
  </si>
  <si>
    <t>Land at Blackbridge</t>
  </si>
  <si>
    <t>Land East of Sneedhams Road</t>
  </si>
  <si>
    <t>Land off Eastgate Street</t>
  </si>
  <si>
    <t>Southern Railway Triangle</t>
  </si>
  <si>
    <t>Jordan's Brook House</t>
  </si>
  <si>
    <t>Land off Myers Road</t>
  </si>
  <si>
    <t>White City Replacement Community Facility</t>
  </si>
  <si>
    <t>Land at West Quay, the Docks</t>
  </si>
  <si>
    <t>Land at the Wheatridge</t>
  </si>
  <si>
    <t>Greater Blackfriars - former Fleece &amp; Longsmith Street carpark</t>
  </si>
  <si>
    <t>-</t>
  </si>
  <si>
    <t>No. Dwellings</t>
  </si>
  <si>
    <t xml:space="preserve">Population </t>
  </si>
  <si>
    <t xml:space="preserve">Completions (at October 2016) </t>
  </si>
  <si>
    <t xml:space="preserve">Committed Sites </t>
  </si>
  <si>
    <t>Allocated Sites</t>
  </si>
  <si>
    <t xml:space="preserve">TOTAL </t>
  </si>
  <si>
    <t>TOTAL (excl. completions)</t>
  </si>
  <si>
    <t xml:space="preserve">Secunda Way Industrial Estate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</si>
</sst>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  <numFmt numFmtId="167" formatCode="_-&quot;£&quot;* #,##0_-;\-&quot;£&quot;* #,##0_-;_-&quot;£&quot;* &quot;-&quot;??_-;_-@_-"/>
    <numFmt numFmtId="168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3F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D4EDF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4">
    <xf numFmtId="0" fontId="0" fillId="0" borderId="0" xfId="0"/>
    <xf numFmtId="0" fontId="3" fillId="0" borderId="1" xfId="0" applyFont="1" applyFill="1" applyBorder="1"/>
    <xf numFmtId="164" fontId="3" fillId="0" borderId="1" xfId="1" applyNumberFormat="1" applyFont="1" applyFill="1" applyBorder="1"/>
    <xf numFmtId="164" fontId="4" fillId="0" borderId="1" xfId="1" applyNumberFormat="1" applyFont="1" applyFill="1" applyBorder="1"/>
    <xf numFmtId="164" fontId="3" fillId="0" borderId="1" xfId="0" applyNumberFormat="1" applyFont="1" applyBorder="1"/>
    <xf numFmtId="164" fontId="4" fillId="0" borderId="1" xfId="1" applyNumberFormat="1" applyFont="1" applyFill="1" applyBorder="1" applyAlignment="1">
      <alignment horizontal="right"/>
    </xf>
    <xf numFmtId="43" fontId="3" fillId="0" borderId="3" xfId="1" applyNumberFormat="1" applyFont="1" applyBorder="1"/>
    <xf numFmtId="165" fontId="3" fillId="0" borderId="3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3" fontId="3" fillId="0" borderId="1" xfId="1" applyNumberFormat="1" applyFont="1" applyBorder="1"/>
    <xf numFmtId="165" fontId="3" fillId="0" borderId="1" xfId="1" applyNumberFormat="1" applyFont="1" applyBorder="1"/>
    <xf numFmtId="2" fontId="3" fillId="0" borderId="3" xfId="1" applyNumberFormat="1" applyFont="1" applyBorder="1"/>
    <xf numFmtId="0" fontId="2" fillId="6" borderId="1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43" fontId="3" fillId="0" borderId="27" xfId="1" applyNumberFormat="1" applyFont="1" applyBorder="1"/>
    <xf numFmtId="165" fontId="3" fillId="0" borderId="28" xfId="1" applyNumberFormat="1" applyFont="1" applyBorder="1"/>
    <xf numFmtId="2" fontId="3" fillId="5" borderId="19" xfId="0" applyNumberFormat="1" applyFont="1" applyFill="1" applyBorder="1"/>
    <xf numFmtId="165" fontId="3" fillId="5" borderId="20" xfId="0" applyNumberFormat="1" applyFont="1" applyFill="1" applyBorder="1"/>
    <xf numFmtId="2" fontId="3" fillId="5" borderId="20" xfId="0" applyNumberFormat="1" applyFont="1" applyFill="1" applyBorder="1"/>
    <xf numFmtId="165" fontId="3" fillId="5" borderId="21" xfId="0" applyNumberFormat="1" applyFont="1" applyFill="1" applyBorder="1"/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43" fontId="3" fillId="0" borderId="29" xfId="1" applyNumberFormat="1" applyFont="1" applyBorder="1"/>
    <xf numFmtId="165" fontId="3" fillId="0" borderId="30" xfId="1" applyNumberFormat="1" applyFont="1" applyBorder="1"/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" fontId="3" fillId="5" borderId="19" xfId="0" applyNumberFormat="1" applyFont="1" applyFill="1" applyBorder="1"/>
    <xf numFmtId="0" fontId="3" fillId="5" borderId="20" xfId="0" applyFont="1" applyFill="1" applyBorder="1"/>
    <xf numFmtId="3" fontId="3" fillId="5" borderId="20" xfId="0" applyNumberFormat="1" applyFont="1" applyFill="1" applyBorder="1" applyAlignment="1">
      <alignment horizontal="right"/>
    </xf>
    <xf numFmtId="2" fontId="3" fillId="5" borderId="37" xfId="0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165" fontId="3" fillId="5" borderId="12" xfId="0" applyNumberFormat="1" applyFont="1" applyFill="1" applyBorder="1"/>
    <xf numFmtId="0" fontId="3" fillId="0" borderId="34" xfId="0" applyFont="1" applyFill="1" applyBorder="1"/>
    <xf numFmtId="165" fontId="3" fillId="5" borderId="35" xfId="0" applyNumberFormat="1" applyFont="1" applyFill="1" applyBorder="1"/>
    <xf numFmtId="0" fontId="3" fillId="0" borderId="29" xfId="0" applyFont="1" applyFill="1" applyBorder="1"/>
    <xf numFmtId="165" fontId="3" fillId="5" borderId="30" xfId="0" applyNumberFormat="1" applyFont="1" applyFill="1" applyBorder="1"/>
    <xf numFmtId="0" fontId="3" fillId="0" borderId="19" xfId="0" applyFont="1" applyFill="1" applyBorder="1"/>
    <xf numFmtId="2" fontId="3" fillId="5" borderId="2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30" xfId="0" applyFont="1" applyFill="1" applyBorder="1"/>
    <xf numFmtId="0" fontId="2" fillId="2" borderId="29" xfId="0" applyFont="1" applyFill="1" applyBorder="1" applyAlignment="1">
      <alignment horizontal="right" vertical="center"/>
    </xf>
    <xf numFmtId="0" fontId="2" fillId="4" borderId="32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2" fillId="6" borderId="29" xfId="0" applyFont="1" applyFill="1" applyBorder="1" applyAlignment="1">
      <alignment horizontal="right" vertical="center"/>
    </xf>
    <xf numFmtId="0" fontId="2" fillId="6" borderId="19" xfId="0" applyFont="1" applyFill="1" applyBorder="1" applyAlignment="1">
      <alignment horizontal="right" vertical="center"/>
    </xf>
    <xf numFmtId="0" fontId="2" fillId="4" borderId="42" xfId="0" applyFont="1" applyFill="1" applyBorder="1" applyAlignment="1">
      <alignment horizontal="center" vertical="center"/>
    </xf>
    <xf numFmtId="43" fontId="3" fillId="0" borderId="11" xfId="1" applyNumberFormat="1" applyFont="1" applyBorder="1"/>
    <xf numFmtId="165" fontId="3" fillId="0" borderId="1" xfId="1" applyNumberFormat="1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165" fontId="3" fillId="0" borderId="0" xfId="0" applyNumberFormat="1" applyFont="1" applyFill="1" applyBorder="1"/>
    <xf numFmtId="164" fontId="3" fillId="5" borderId="21" xfId="1" applyNumberFormat="1" applyFont="1" applyFill="1" applyBorder="1"/>
    <xf numFmtId="164" fontId="3" fillId="5" borderId="20" xfId="1" applyNumberFormat="1" applyFont="1" applyFill="1" applyBorder="1"/>
    <xf numFmtId="0" fontId="2" fillId="7" borderId="29" xfId="0" applyFont="1" applyFill="1" applyBorder="1" applyAlignment="1">
      <alignment horizontal="right" vertical="center"/>
    </xf>
    <xf numFmtId="165" fontId="3" fillId="5" borderId="21" xfId="2" applyNumberFormat="1" applyFont="1" applyFill="1" applyBorder="1"/>
    <xf numFmtId="1" fontId="3" fillId="5" borderId="36" xfId="0" applyNumberFormat="1" applyFont="1" applyFill="1" applyBorder="1"/>
    <xf numFmtId="2" fontId="3" fillId="0" borderId="1" xfId="1" applyNumberFormat="1" applyFont="1" applyFill="1" applyBorder="1"/>
    <xf numFmtId="165" fontId="3" fillId="0" borderId="30" xfId="1" applyNumberFormat="1" applyFont="1" applyFill="1" applyBorder="1"/>
    <xf numFmtId="165" fontId="3" fillId="5" borderId="20" xfId="2" applyNumberFormat="1" applyFont="1" applyFill="1" applyBorder="1"/>
    <xf numFmtId="1" fontId="3" fillId="5" borderId="20" xfId="0" applyNumberFormat="1" applyFont="1" applyFill="1" applyBorder="1"/>
    <xf numFmtId="164" fontId="3" fillId="0" borderId="10" xfId="0" applyNumberFormat="1" applyFont="1" applyBorder="1"/>
    <xf numFmtId="0" fontId="2" fillId="7" borderId="11" xfId="0" applyFont="1" applyFill="1" applyBorder="1" applyAlignment="1">
      <alignment horizontal="center" vertical="center"/>
    </xf>
    <xf numFmtId="2" fontId="3" fillId="0" borderId="11" xfId="1" applyNumberFormat="1" applyFont="1" applyFill="1" applyBorder="1"/>
    <xf numFmtId="1" fontId="3" fillId="5" borderId="37" xfId="0" applyNumberFormat="1" applyFont="1" applyFill="1" applyBorder="1"/>
    <xf numFmtId="0" fontId="2" fillId="7" borderId="0" xfId="0" applyFont="1" applyFill="1" applyBorder="1" applyAlignment="1">
      <alignment horizontal="center" vertical="center"/>
    </xf>
    <xf numFmtId="0" fontId="3" fillId="0" borderId="47" xfId="0" applyFont="1" applyFill="1" applyBorder="1"/>
    <xf numFmtId="165" fontId="3" fillId="5" borderId="48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21" xfId="0" applyFont="1" applyFill="1" applyBorder="1" applyAlignment="1">
      <alignment horizontal="left" wrapText="1"/>
    </xf>
    <xf numFmtId="3" fontId="0" fillId="0" borderId="0" xfId="0" applyNumberFormat="1"/>
    <xf numFmtId="0" fontId="4" fillId="0" borderId="1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164" fontId="3" fillId="5" borderId="20" xfId="0" applyNumberFormat="1" applyFont="1" applyFill="1" applyBorder="1"/>
    <xf numFmtId="43" fontId="5" fillId="0" borderId="2" xfId="1" applyNumberFormat="1" applyFont="1" applyBorder="1"/>
    <xf numFmtId="165" fontId="5" fillId="0" borderId="8" xfId="1" applyNumberFormat="1" applyFont="1" applyBorder="1"/>
    <xf numFmtId="43" fontId="5" fillId="0" borderId="8" xfId="1" applyNumberFormat="1" applyFont="1" applyBorder="1"/>
    <xf numFmtId="165" fontId="5" fillId="0" borderId="8" xfId="1" applyNumberFormat="1" applyFont="1" applyFill="1" applyBorder="1"/>
    <xf numFmtId="165" fontId="5" fillId="0" borderId="57" xfId="1" applyNumberFormat="1" applyFont="1" applyFill="1" applyBorder="1"/>
    <xf numFmtId="165" fontId="5" fillId="0" borderId="45" xfId="1" applyNumberFormat="1" applyFont="1" applyBorder="1"/>
    <xf numFmtId="43" fontId="5" fillId="0" borderId="53" xfId="1" applyNumberFormat="1" applyFont="1" applyBorder="1"/>
    <xf numFmtId="0" fontId="3" fillId="0" borderId="2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3" fillId="2" borderId="1" xfId="0" applyFont="1" applyFill="1" applyBorder="1"/>
    <xf numFmtId="165" fontId="3" fillId="2" borderId="55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64" fontId="4" fillId="4" borderId="1" xfId="1" applyNumberFormat="1" applyFont="1" applyFill="1" applyBorder="1"/>
    <xf numFmtId="164" fontId="3" fillId="4" borderId="30" xfId="0" applyNumberFormat="1" applyFont="1" applyFill="1" applyBorder="1"/>
    <xf numFmtId="43" fontId="3" fillId="4" borderId="27" xfId="1" applyNumberFormat="1" applyFont="1" applyFill="1" applyBorder="1"/>
    <xf numFmtId="165" fontId="3" fillId="4" borderId="3" xfId="1" applyNumberFormat="1" applyFont="1" applyFill="1" applyBorder="1"/>
    <xf numFmtId="43" fontId="3" fillId="4" borderId="3" xfId="1" applyNumberFormat="1" applyFont="1" applyFill="1" applyBorder="1"/>
    <xf numFmtId="165" fontId="3" fillId="4" borderId="28" xfId="1" applyNumberFormat="1" applyFont="1" applyFill="1" applyBorder="1"/>
    <xf numFmtId="165" fontId="3" fillId="4" borderId="1" xfId="1" applyNumberFormat="1" applyFont="1" applyFill="1" applyBorder="1"/>
    <xf numFmtId="2" fontId="3" fillId="4" borderId="1" xfId="1" applyNumberFormat="1" applyFont="1" applyFill="1" applyBorder="1"/>
    <xf numFmtId="165" fontId="3" fillId="4" borderId="30" xfId="1" applyNumberFormat="1" applyFont="1" applyFill="1" applyBorder="1"/>
    <xf numFmtId="43" fontId="3" fillId="4" borderId="29" xfId="1" applyNumberFormat="1" applyFont="1" applyFill="1" applyBorder="1"/>
    <xf numFmtId="43" fontId="3" fillId="4" borderId="1" xfId="1" applyNumberFormat="1" applyFont="1" applyFill="1" applyBorder="1"/>
    <xf numFmtId="165" fontId="3" fillId="4" borderId="10" xfId="1" applyNumberFormat="1" applyFont="1" applyFill="1" applyBorder="1"/>
    <xf numFmtId="2" fontId="4" fillId="4" borderId="29" xfId="1" applyNumberFormat="1" applyFont="1" applyFill="1" applyBorder="1"/>
    <xf numFmtId="165" fontId="4" fillId="4" borderId="1" xfId="1" applyNumberFormat="1" applyFont="1" applyFill="1" applyBorder="1"/>
    <xf numFmtId="2" fontId="4" fillId="4" borderId="1" xfId="1" applyNumberFormat="1" applyFont="1" applyFill="1" applyBorder="1"/>
    <xf numFmtId="43" fontId="4" fillId="4" borderId="1" xfId="1" applyNumberFormat="1" applyFont="1" applyFill="1" applyBorder="1"/>
    <xf numFmtId="165" fontId="4" fillId="4" borderId="10" xfId="1" applyNumberFormat="1" applyFont="1" applyFill="1" applyBorder="1"/>
    <xf numFmtId="43" fontId="4" fillId="4" borderId="27" xfId="1" applyNumberFormat="1" applyFont="1" applyFill="1" applyBorder="1"/>
    <xf numFmtId="165" fontId="4" fillId="4" borderId="3" xfId="1" applyNumberFormat="1" applyFont="1" applyFill="1" applyBorder="1"/>
    <xf numFmtId="43" fontId="4" fillId="4" borderId="3" xfId="1" applyNumberFormat="1" applyFont="1" applyFill="1" applyBorder="1"/>
    <xf numFmtId="43" fontId="4" fillId="4" borderId="6" xfId="1" applyNumberFormat="1" applyFont="1" applyFill="1" applyBorder="1"/>
    <xf numFmtId="165" fontId="4" fillId="4" borderId="30" xfId="1" applyNumberFormat="1" applyFont="1" applyFill="1" applyBorder="1"/>
    <xf numFmtId="165" fontId="3" fillId="4" borderId="55" xfId="0" applyNumberFormat="1" applyFont="1" applyFill="1" applyBorder="1"/>
    <xf numFmtId="165" fontId="3" fillId="4" borderId="54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0" fontId="5" fillId="0" borderId="26" xfId="0" applyFont="1" applyFill="1" applyBorder="1"/>
    <xf numFmtId="165" fontId="3" fillId="5" borderId="39" xfId="0" applyNumberFormat="1" applyFont="1" applyFill="1" applyBorder="1"/>
    <xf numFmtId="165" fontId="5" fillId="0" borderId="56" xfId="0" applyNumberFormat="1" applyFont="1" applyFill="1" applyBorder="1"/>
    <xf numFmtId="0" fontId="3" fillId="8" borderId="13" xfId="0" applyFont="1" applyFill="1" applyBorder="1"/>
    <xf numFmtId="2" fontId="3" fillId="4" borderId="6" xfId="1" applyNumberFormat="1" applyFont="1" applyFill="1" applyBorder="1"/>
    <xf numFmtId="2" fontId="3" fillId="4" borderId="3" xfId="1" applyNumberFormat="1" applyFont="1" applyFill="1" applyBorder="1"/>
    <xf numFmtId="165" fontId="3" fillId="4" borderId="5" xfId="1" applyNumberFormat="1" applyFont="1" applyFill="1" applyBorder="1"/>
    <xf numFmtId="2" fontId="4" fillId="4" borderId="27" xfId="1" applyNumberFormat="1" applyFont="1" applyFill="1" applyBorder="1"/>
    <xf numFmtId="2" fontId="4" fillId="4" borderId="3" xfId="1" applyNumberFormat="1" applyFont="1" applyFill="1" applyBorder="1"/>
    <xf numFmtId="165" fontId="4" fillId="4" borderId="5" xfId="1" applyNumberFormat="1" applyFont="1" applyFill="1" applyBorder="1"/>
    <xf numFmtId="165" fontId="4" fillId="4" borderId="28" xfId="1" applyNumberFormat="1" applyFont="1" applyFill="1" applyBorder="1"/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5" fontId="3" fillId="5" borderId="1" xfId="1" applyNumberFormat="1" applyFont="1" applyFill="1" applyBorder="1"/>
    <xf numFmtId="165" fontId="3" fillId="5" borderId="10" xfId="1" applyNumberFormat="1" applyFont="1" applyFill="1" applyBorder="1"/>
    <xf numFmtId="0" fontId="5" fillId="0" borderId="8" xfId="0" applyFont="1" applyFill="1" applyBorder="1"/>
    <xf numFmtId="164" fontId="5" fillId="0" borderId="57" xfId="0" applyNumberFormat="1" applyFont="1" applyBorder="1"/>
    <xf numFmtId="2" fontId="5" fillId="0" borderId="53" xfId="1" applyNumberFormat="1" applyFont="1" applyFill="1" applyBorder="1"/>
    <xf numFmtId="2" fontId="5" fillId="0" borderId="8" xfId="1" applyNumberFormat="1" applyFont="1" applyFill="1" applyBorder="1"/>
    <xf numFmtId="165" fontId="3" fillId="0" borderId="5" xfId="1" applyNumberFormat="1" applyFont="1" applyBorder="1"/>
    <xf numFmtId="2" fontId="5" fillId="0" borderId="2" xfId="1" applyNumberFormat="1" applyFont="1" applyBorder="1"/>
    <xf numFmtId="2" fontId="5" fillId="0" borderId="8" xfId="1" applyNumberFormat="1" applyFont="1" applyBorder="1"/>
    <xf numFmtId="165" fontId="5" fillId="0" borderId="57" xfId="1" applyNumberFormat="1" applyFont="1" applyBorder="1"/>
    <xf numFmtId="43" fontId="3" fillId="5" borderId="1" xfId="1" applyNumberFormat="1" applyFont="1" applyFill="1" applyBorder="1"/>
    <xf numFmtId="2" fontId="3" fillId="5" borderId="1" xfId="1" applyNumberFormat="1" applyFont="1" applyFill="1" applyBorder="1"/>
    <xf numFmtId="2" fontId="4" fillId="5" borderId="1" xfId="1" applyNumberFormat="1" applyFont="1" applyFill="1" applyBorder="1"/>
    <xf numFmtId="165" fontId="4" fillId="5" borderId="1" xfId="1" applyNumberFormat="1" applyFont="1" applyFill="1" applyBorder="1"/>
    <xf numFmtId="43" fontId="4" fillId="5" borderId="1" xfId="1" applyNumberFormat="1" applyFont="1" applyFill="1" applyBorder="1"/>
    <xf numFmtId="43" fontId="3" fillId="4" borderId="6" xfId="1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3" xfId="0" applyFont="1" applyBorder="1"/>
    <xf numFmtId="164" fontId="5" fillId="0" borderId="8" xfId="1" applyNumberFormat="1" applyFont="1" applyFill="1" applyBorder="1"/>
    <xf numFmtId="0" fontId="3" fillId="4" borderId="34" xfId="0" applyFont="1" applyFill="1" applyBorder="1"/>
    <xf numFmtId="0" fontId="3" fillId="4" borderId="22" xfId="0" applyFont="1" applyFill="1" applyBorder="1" applyAlignment="1">
      <alignment horizontal="center"/>
    </xf>
    <xf numFmtId="0" fontId="3" fillId="4" borderId="22" xfId="0" applyFont="1" applyFill="1" applyBorder="1"/>
    <xf numFmtId="164" fontId="4" fillId="4" borderId="22" xfId="1" applyNumberFormat="1" applyFont="1" applyFill="1" applyBorder="1"/>
    <xf numFmtId="0" fontId="3" fillId="4" borderId="22" xfId="0" applyFont="1" applyFill="1" applyBorder="1" applyAlignment="1">
      <alignment vertical="center" wrapText="1"/>
    </xf>
    <xf numFmtId="164" fontId="3" fillId="4" borderId="35" xfId="0" applyNumberFormat="1" applyFont="1" applyFill="1" applyBorder="1"/>
    <xf numFmtId="0" fontId="3" fillId="4" borderId="29" xfId="0" applyFont="1" applyFill="1" applyBorder="1"/>
    <xf numFmtId="164" fontId="4" fillId="4" borderId="20" xfId="1" applyNumberFormat="1" applyFont="1" applyFill="1" applyBorder="1"/>
    <xf numFmtId="0" fontId="3" fillId="5" borderId="23" xfId="0" applyFont="1" applyFill="1" applyBorder="1"/>
    <xf numFmtId="165" fontId="3" fillId="5" borderId="59" xfId="0" applyNumberFormat="1" applyFont="1" applyFill="1" applyBorder="1"/>
    <xf numFmtId="43" fontId="3" fillId="5" borderId="6" xfId="1" applyNumberFormat="1" applyFont="1" applyFill="1" applyBorder="1"/>
    <xf numFmtId="165" fontId="3" fillId="5" borderId="3" xfId="1" applyNumberFormat="1" applyFont="1" applyFill="1" applyBorder="1"/>
    <xf numFmtId="43" fontId="3" fillId="5" borderId="3" xfId="1" applyNumberFormat="1" applyFont="1" applyFill="1" applyBorder="1"/>
    <xf numFmtId="165" fontId="3" fillId="5" borderId="28" xfId="1" applyNumberFormat="1" applyFont="1" applyFill="1" applyBorder="1"/>
    <xf numFmtId="2" fontId="3" fillId="5" borderId="11" xfId="1" applyNumberFormat="1" applyFont="1" applyFill="1" applyBorder="1"/>
    <xf numFmtId="165" fontId="3" fillId="5" borderId="30" xfId="1" applyNumberFormat="1" applyFont="1" applyFill="1" applyBorder="1"/>
    <xf numFmtId="43" fontId="3" fillId="5" borderId="29" xfId="1" applyNumberFormat="1" applyFont="1" applyFill="1" applyBorder="1"/>
    <xf numFmtId="165" fontId="4" fillId="5" borderId="10" xfId="1" applyNumberFormat="1" applyFont="1" applyFill="1" applyBorder="1"/>
    <xf numFmtId="43" fontId="4" fillId="5" borderId="27" xfId="1" applyNumberFormat="1" applyFont="1" applyFill="1" applyBorder="1"/>
    <xf numFmtId="165" fontId="4" fillId="5" borderId="3" xfId="1" applyNumberFormat="1" applyFont="1" applyFill="1" applyBorder="1"/>
    <xf numFmtId="43" fontId="4" fillId="5" borderId="3" xfId="1" applyNumberFormat="1" applyFont="1" applyFill="1" applyBorder="1"/>
    <xf numFmtId="43" fontId="4" fillId="5" borderId="6" xfId="1" applyNumberFormat="1" applyFont="1" applyFill="1" applyBorder="1"/>
    <xf numFmtId="165" fontId="4" fillId="5" borderId="30" xfId="1" applyNumberFormat="1" applyFont="1" applyFill="1" applyBorder="1"/>
    <xf numFmtId="0" fontId="9" fillId="0" borderId="0" xfId="0" applyFont="1"/>
    <xf numFmtId="0" fontId="11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9" fontId="1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166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Fill="1"/>
    <xf numFmtId="0" fontId="9" fillId="4" borderId="0" xfId="0" applyFont="1" applyFill="1"/>
    <xf numFmtId="0" fontId="9" fillId="2" borderId="0" xfId="0" applyFont="1" applyFill="1"/>
    <xf numFmtId="0" fontId="12" fillId="0" borderId="0" xfId="0" applyFont="1" applyFill="1"/>
    <xf numFmtId="0" fontId="12" fillId="0" borderId="0" xfId="0" applyFont="1"/>
    <xf numFmtId="0" fontId="9" fillId="0" borderId="0" xfId="0" applyFont="1" applyFill="1" applyBorder="1"/>
    <xf numFmtId="0" fontId="9" fillId="0" borderId="1" xfId="0" applyFont="1" applyBorder="1"/>
    <xf numFmtId="6" fontId="9" fillId="0" borderId="1" xfId="0" applyNumberFormat="1" applyFont="1" applyBorder="1"/>
    <xf numFmtId="0" fontId="9" fillId="0" borderId="0" xfId="0" applyFont="1" applyFill="1" applyBorder="1" applyAlignment="1">
      <alignment vertical="center"/>
    </xf>
    <xf numFmtId="164" fontId="11" fillId="0" borderId="1" xfId="1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 applyAlignment="1">
      <alignment vertical="center" wrapText="1"/>
    </xf>
    <xf numFmtId="165" fontId="3" fillId="5" borderId="21" xfId="1" applyNumberFormat="1" applyFont="1" applyFill="1" applyBorder="1"/>
    <xf numFmtId="167" fontId="3" fillId="5" borderId="21" xfId="2" applyNumberFormat="1" applyFont="1" applyFill="1" applyBorder="1"/>
    <xf numFmtId="167" fontId="3" fillId="5" borderId="21" xfId="2" applyNumberFormat="1" applyFont="1" applyFill="1" applyBorder="1" applyAlignment="1">
      <alignment horizontal="right"/>
    </xf>
    <xf numFmtId="43" fontId="3" fillId="5" borderId="21" xfId="1" applyNumberFormat="1" applyFont="1" applyFill="1" applyBorder="1"/>
    <xf numFmtId="0" fontId="9" fillId="9" borderId="0" xfId="0" applyFont="1" applyFill="1"/>
    <xf numFmtId="0" fontId="2" fillId="10" borderId="12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2" fillId="11" borderId="39" xfId="0" applyFont="1" applyFill="1" applyBorder="1" applyAlignment="1">
      <alignment vertical="center" wrapText="1"/>
    </xf>
    <xf numFmtId="0" fontId="2" fillId="12" borderId="39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3" fontId="3" fillId="0" borderId="25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3" fontId="2" fillId="11" borderId="25" xfId="0" applyNumberFormat="1" applyFont="1" applyFill="1" applyBorder="1" applyAlignment="1">
      <alignment horizontal="right" vertical="center" wrapText="1"/>
    </xf>
    <xf numFmtId="3" fontId="2" fillId="12" borderId="25" xfId="0" applyNumberFormat="1" applyFont="1" applyFill="1" applyBorder="1" applyAlignment="1">
      <alignment horizontal="right" vertical="center" wrapText="1"/>
    </xf>
    <xf numFmtId="1" fontId="3" fillId="0" borderId="25" xfId="0" applyNumberFormat="1" applyFont="1" applyBorder="1" applyAlignment="1">
      <alignment horizontal="right" vertical="center" wrapText="1"/>
    </xf>
    <xf numFmtId="168" fontId="3" fillId="5" borderId="21" xfId="1" applyNumberFormat="1" applyFont="1" applyFill="1" applyBorder="1"/>
    <xf numFmtId="0" fontId="3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/>
    <xf numFmtId="164" fontId="4" fillId="4" borderId="60" xfId="1" applyNumberFormat="1" applyFont="1" applyFill="1" applyBorder="1"/>
    <xf numFmtId="0" fontId="3" fillId="5" borderId="60" xfId="0" applyFont="1" applyFill="1" applyBorder="1"/>
    <xf numFmtId="164" fontId="3" fillId="5" borderId="48" xfId="0" applyNumberFormat="1" applyFont="1" applyFill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0" xfId="0" applyFont="1" applyFill="1" applyBorder="1" applyAlignment="1">
      <alignment horizontal="center"/>
    </xf>
    <xf numFmtId="164" fontId="3" fillId="4" borderId="21" xfId="0" applyNumberFormat="1" applyFont="1" applyFill="1" applyBorder="1"/>
    <xf numFmtId="2" fontId="4" fillId="4" borderId="11" xfId="1" applyNumberFormat="1" applyFont="1" applyFill="1" applyBorder="1"/>
    <xf numFmtId="0" fontId="3" fillId="4" borderId="0" xfId="0" applyFont="1" applyFill="1" applyBorder="1"/>
    <xf numFmtId="165" fontId="3" fillId="4" borderId="59" xfId="0" applyNumberFormat="1" applyFont="1" applyFill="1" applyBorder="1"/>
    <xf numFmtId="0" fontId="3" fillId="4" borderId="32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horizontal="center"/>
    </xf>
    <xf numFmtId="164" fontId="4" fillId="4" borderId="4" xfId="1" applyNumberFormat="1" applyFont="1" applyFill="1" applyBorder="1"/>
    <xf numFmtId="164" fontId="3" fillId="4" borderId="33" xfId="0" applyNumberFormat="1" applyFont="1" applyFill="1" applyBorder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right"/>
    </xf>
    <xf numFmtId="0" fontId="2" fillId="5" borderId="52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2" fillId="5" borderId="6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5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DE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27"/>
  <sheetViews>
    <sheetView zoomScaleNormal="10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L6" sqref="L6"/>
    </sheetView>
  </sheetViews>
  <sheetFormatPr defaultRowHeight="14.5" x14ac:dyDescent="0.35"/>
  <cols>
    <col min="2" max="2" width="11.81640625" customWidth="1"/>
    <col min="3" max="3" width="33.453125" bestFit="1" customWidth="1"/>
    <col min="4" max="4" width="12.7265625" hidden="1" customWidth="1"/>
    <col min="10" max="10" width="9.54296875" bestFit="1" customWidth="1"/>
    <col min="11" max="11" width="12.453125" customWidth="1"/>
    <col min="12" max="12" width="12" bestFit="1" customWidth="1"/>
    <col min="13" max="13" width="9.7265625" bestFit="1" customWidth="1"/>
    <col min="14" max="14" width="12" bestFit="1" customWidth="1"/>
    <col min="15" max="15" width="9.7265625" bestFit="1" customWidth="1"/>
    <col min="16" max="16" width="16.453125" bestFit="1" customWidth="1"/>
    <col min="17" max="17" width="17.81640625" bestFit="1" customWidth="1"/>
    <col min="18" max="18" width="13.7265625" bestFit="1" customWidth="1"/>
    <col min="19" max="19" width="13.26953125" customWidth="1"/>
    <col min="20" max="20" width="13.7265625" bestFit="1" customWidth="1"/>
    <col min="21" max="21" width="13" customWidth="1"/>
    <col min="22" max="22" width="13.7265625" bestFit="1" customWidth="1"/>
    <col min="23" max="23" width="12.54296875" customWidth="1"/>
    <col min="24" max="24" width="13.7265625" bestFit="1" customWidth="1"/>
    <col min="25" max="25" width="13.26953125" customWidth="1"/>
    <col min="26" max="26" width="12" bestFit="1" customWidth="1"/>
    <col min="28" max="28" width="12" bestFit="1" customWidth="1"/>
    <col min="29" max="29" width="11.54296875" bestFit="1" customWidth="1"/>
    <col min="30" max="30" width="12" bestFit="1" customWidth="1"/>
    <col min="31" max="31" width="9.7265625" bestFit="1" customWidth="1"/>
    <col min="32" max="32" width="12" bestFit="1" customWidth="1"/>
    <col min="34" max="34" width="12" bestFit="1" customWidth="1"/>
    <col min="35" max="37" width="14.26953125" customWidth="1"/>
    <col min="38" max="38" width="10.7265625" bestFit="1" customWidth="1"/>
    <col min="40" max="40" width="10.7265625" bestFit="1" customWidth="1"/>
    <col min="43" max="43" width="27.26953125" bestFit="1" customWidth="1"/>
    <col min="44" max="44" width="13.1796875" customWidth="1"/>
  </cols>
  <sheetData>
    <row r="1" spans="2:44" ht="15" thickBot="1" x14ac:dyDescent="0.4"/>
    <row r="2" spans="2:44" ht="15" thickBot="1" x14ac:dyDescent="0.4">
      <c r="B2" s="264" t="s">
        <v>7</v>
      </c>
      <c r="C2" s="265"/>
      <c r="D2" s="265"/>
      <c r="E2" s="265"/>
      <c r="F2" s="265"/>
      <c r="G2" s="265"/>
      <c r="H2" s="265"/>
      <c r="I2" s="265"/>
      <c r="J2" s="265"/>
      <c r="K2" s="266"/>
      <c r="L2" s="267" t="s">
        <v>21</v>
      </c>
      <c r="M2" s="268"/>
      <c r="N2" s="268"/>
      <c r="O2" s="268"/>
      <c r="P2" s="268"/>
      <c r="Q2" s="269"/>
      <c r="R2" s="270" t="s">
        <v>100</v>
      </c>
      <c r="S2" s="271"/>
      <c r="T2" s="271"/>
      <c r="U2" s="271"/>
      <c r="V2" s="271"/>
      <c r="W2" s="271"/>
      <c r="X2" s="271"/>
      <c r="Y2" s="272"/>
      <c r="Z2" s="252" t="s">
        <v>22</v>
      </c>
      <c r="AA2" s="253"/>
      <c r="AB2" s="253"/>
      <c r="AC2" s="253"/>
      <c r="AD2" s="253"/>
      <c r="AE2" s="254"/>
      <c r="AF2" s="282" t="s">
        <v>24</v>
      </c>
      <c r="AG2" s="283"/>
      <c r="AH2" s="283"/>
      <c r="AI2" s="284"/>
      <c r="AJ2" s="297" t="s">
        <v>30</v>
      </c>
      <c r="AK2" s="298"/>
      <c r="AL2" s="298"/>
      <c r="AM2" s="298"/>
      <c r="AN2" s="298"/>
      <c r="AO2" s="299"/>
    </row>
    <row r="3" spans="2:44" ht="21.75" customHeight="1" x14ac:dyDescent="0.35">
      <c r="B3" s="306" t="s">
        <v>8</v>
      </c>
      <c r="C3" s="260" t="s">
        <v>101</v>
      </c>
      <c r="D3" s="258" t="s">
        <v>33</v>
      </c>
      <c r="E3" s="260">
        <v>2016</v>
      </c>
      <c r="F3" s="260">
        <v>2017</v>
      </c>
      <c r="G3" s="260">
        <v>2018</v>
      </c>
      <c r="H3" s="260">
        <v>2019</v>
      </c>
      <c r="I3" s="260">
        <v>2020</v>
      </c>
      <c r="J3" s="260" t="s">
        <v>9</v>
      </c>
      <c r="K3" s="262" t="s">
        <v>10</v>
      </c>
      <c r="L3" s="303" t="s">
        <v>11</v>
      </c>
      <c r="M3" s="304"/>
      <c r="N3" s="304" t="s">
        <v>12</v>
      </c>
      <c r="O3" s="304"/>
      <c r="P3" s="304" t="s">
        <v>13</v>
      </c>
      <c r="Q3" s="305"/>
      <c r="R3" s="275" t="s">
        <v>86</v>
      </c>
      <c r="S3" s="273"/>
      <c r="T3" s="273" t="s">
        <v>87</v>
      </c>
      <c r="U3" s="273"/>
      <c r="V3" s="273" t="s">
        <v>94</v>
      </c>
      <c r="W3" s="273"/>
      <c r="X3" s="273" t="s">
        <v>95</v>
      </c>
      <c r="Y3" s="274"/>
      <c r="Z3" s="255" t="s">
        <v>16</v>
      </c>
      <c r="AA3" s="256"/>
      <c r="AB3" s="256" t="s">
        <v>17</v>
      </c>
      <c r="AC3" s="256"/>
      <c r="AD3" s="256" t="s">
        <v>18</v>
      </c>
      <c r="AE3" s="257"/>
      <c r="AF3" s="294" t="s">
        <v>23</v>
      </c>
      <c r="AG3" s="280"/>
      <c r="AH3" s="280" t="s">
        <v>25</v>
      </c>
      <c r="AI3" s="281"/>
      <c r="AJ3" s="295" t="s">
        <v>78</v>
      </c>
      <c r="AK3" s="296"/>
      <c r="AL3" s="295" t="s">
        <v>31</v>
      </c>
      <c r="AM3" s="296"/>
      <c r="AN3" s="296" t="s">
        <v>32</v>
      </c>
      <c r="AO3" s="300"/>
      <c r="AQ3" s="276" t="s">
        <v>51</v>
      </c>
      <c r="AR3" s="278" t="s">
        <v>53</v>
      </c>
    </row>
    <row r="4" spans="2:44" ht="21" customHeight="1" thickBot="1" x14ac:dyDescent="0.4">
      <c r="B4" s="307"/>
      <c r="C4" s="261"/>
      <c r="D4" s="259"/>
      <c r="E4" s="261"/>
      <c r="F4" s="261"/>
      <c r="G4" s="261"/>
      <c r="H4" s="261"/>
      <c r="I4" s="261"/>
      <c r="J4" s="261"/>
      <c r="K4" s="263"/>
      <c r="L4" s="30" t="s">
        <v>14</v>
      </c>
      <c r="M4" s="8" t="s">
        <v>15</v>
      </c>
      <c r="N4" s="8" t="s">
        <v>14</v>
      </c>
      <c r="O4" s="8" t="s">
        <v>15</v>
      </c>
      <c r="P4" s="8" t="s">
        <v>19</v>
      </c>
      <c r="Q4" s="31" t="s">
        <v>20</v>
      </c>
      <c r="R4" s="67" t="s">
        <v>102</v>
      </c>
      <c r="S4" s="54" t="s">
        <v>15</v>
      </c>
      <c r="T4" s="67" t="s">
        <v>102</v>
      </c>
      <c r="U4" s="54" t="s">
        <v>15</v>
      </c>
      <c r="V4" s="67" t="s">
        <v>102</v>
      </c>
      <c r="W4" s="54" t="s">
        <v>15</v>
      </c>
      <c r="X4" s="67" t="s">
        <v>102</v>
      </c>
      <c r="Y4" s="55" t="s">
        <v>15</v>
      </c>
      <c r="Z4" s="51" t="s">
        <v>29</v>
      </c>
      <c r="AA4" s="12" t="s">
        <v>15</v>
      </c>
      <c r="AB4" s="12" t="s">
        <v>28</v>
      </c>
      <c r="AC4" s="12" t="s">
        <v>15</v>
      </c>
      <c r="AD4" s="12" t="s">
        <v>27</v>
      </c>
      <c r="AE4" s="27" t="s">
        <v>15</v>
      </c>
      <c r="AF4" s="25" t="s">
        <v>26</v>
      </c>
      <c r="AG4" s="11" t="s">
        <v>15</v>
      </c>
      <c r="AH4" s="11" t="s">
        <v>26</v>
      </c>
      <c r="AI4" s="26" t="s">
        <v>15</v>
      </c>
      <c r="AJ4" s="17" t="s">
        <v>26</v>
      </c>
      <c r="AK4" s="16" t="s">
        <v>15</v>
      </c>
      <c r="AL4" s="17" t="s">
        <v>26</v>
      </c>
      <c r="AM4" s="16" t="s">
        <v>15</v>
      </c>
      <c r="AN4" s="16" t="s">
        <v>26</v>
      </c>
      <c r="AO4" s="18" t="s">
        <v>15</v>
      </c>
      <c r="AQ4" s="277"/>
      <c r="AR4" s="279"/>
    </row>
    <row r="5" spans="2:44" x14ac:dyDescent="0.35">
      <c r="B5" s="301" t="s">
        <v>0</v>
      </c>
      <c r="C5" s="1" t="s">
        <v>1</v>
      </c>
      <c r="D5" s="9">
        <v>620</v>
      </c>
      <c r="E5" s="3">
        <v>0</v>
      </c>
      <c r="F5" s="3">
        <v>0</v>
      </c>
      <c r="G5" s="3">
        <v>0</v>
      </c>
      <c r="H5" s="3">
        <v>50</v>
      </c>
      <c r="I5" s="3">
        <v>100</v>
      </c>
      <c r="J5" s="4">
        <f>SUM(E5:I5)</f>
        <v>150</v>
      </c>
      <c r="K5" s="66">
        <f>J5*2.27</f>
        <v>340.5</v>
      </c>
      <c r="L5" s="28">
        <f>(K5/4000)*645</f>
        <v>54.905625000000001</v>
      </c>
      <c r="M5" s="14">
        <f t="shared" ref="M5:M9" si="0">L5*1500</f>
        <v>82358.4375</v>
      </c>
      <c r="N5" s="13">
        <f>(K5/1000)*30</f>
        <v>10.215</v>
      </c>
      <c r="O5" s="14">
        <f t="shared" ref="O5:O9" si="1">N5*3800</f>
        <v>38817</v>
      </c>
      <c r="P5" s="53">
        <f>(K5/1000)*21000</f>
        <v>7150.5000000000009</v>
      </c>
      <c r="Q5" s="63">
        <f>P5*5</f>
        <v>35752.500000000007</v>
      </c>
      <c r="R5" s="68">
        <f>(13.8/100)*J5</f>
        <v>20.700000000000003</v>
      </c>
      <c r="S5" s="53">
        <f>R5*12359</f>
        <v>255831.30000000005</v>
      </c>
      <c r="T5" s="62">
        <f>(30/100)*J5</f>
        <v>45</v>
      </c>
      <c r="U5" s="53">
        <f>T5*12359</f>
        <v>556155</v>
      </c>
      <c r="V5" s="62">
        <f>(16.5/100)*J5</f>
        <v>24.75</v>
      </c>
      <c r="W5" s="53">
        <f>V5*18848</f>
        <v>466488</v>
      </c>
      <c r="X5" s="62">
        <f>(5.5/100)*J5</f>
        <v>8.25</v>
      </c>
      <c r="Y5" s="63">
        <f>X5*18848</f>
        <v>155496</v>
      </c>
      <c r="Z5" s="52">
        <f>K5/1800</f>
        <v>0.18916666666666668</v>
      </c>
      <c r="AA5" s="14">
        <f t="shared" ref="AA5:AA9" si="2">Z5*150*2000</f>
        <v>56750</v>
      </c>
      <c r="AB5" s="13">
        <f>(K5/1000)*0.5</f>
        <v>0.17025000000000001</v>
      </c>
      <c r="AC5" s="14">
        <f t="shared" ref="AC5:AC9" si="3">AB5*130*1400</f>
        <v>30985.5</v>
      </c>
      <c r="AD5" s="13">
        <f>(K5/1000)*1.78</f>
        <v>0.60609000000000002</v>
      </c>
      <c r="AE5" s="29">
        <f t="shared" ref="AE5:AE9" si="4">AD5*50*1700</f>
        <v>51517.65</v>
      </c>
      <c r="AF5" s="19">
        <f>(K5/1000)*1.2</f>
        <v>0.40860000000000002</v>
      </c>
      <c r="AG5" s="7">
        <f t="shared" ref="AG5:AG9" si="5">(AF5*10000)*9.75</f>
        <v>39838.5</v>
      </c>
      <c r="AH5" s="15">
        <f>(K5/1000)*0.4</f>
        <v>0.13620000000000002</v>
      </c>
      <c r="AI5" s="20">
        <f t="shared" ref="AI5:AI9" si="6">(AH5*10000)*99.6</f>
        <v>135655.20000000001</v>
      </c>
      <c r="AJ5" s="6">
        <f>(K5/1000)*0.25</f>
        <v>8.5125000000000006E-2</v>
      </c>
      <c r="AK5" s="7">
        <f t="shared" ref="AK5:AK9" si="7">AJ5*495000</f>
        <v>42136.875</v>
      </c>
      <c r="AL5" s="19">
        <f>(K5/1000)*0.55</f>
        <v>0.18727500000000002</v>
      </c>
      <c r="AM5" s="7">
        <f t="shared" ref="AM5:AM9" si="8">AL5*17000</f>
        <v>3183.6750000000006</v>
      </c>
      <c r="AN5" s="6">
        <f>(K5/1000)*1</f>
        <v>0.34050000000000002</v>
      </c>
      <c r="AO5" s="20">
        <f t="shared" ref="AO5:AO9" si="9">AN5*240000</f>
        <v>81720</v>
      </c>
      <c r="AQ5" s="38" t="s">
        <v>1</v>
      </c>
      <c r="AR5" s="39">
        <f>M5+O5+Q5+S5+U5+W5+Y5+AA5+AC5+AE5+AG5+AI5+AK5+AM5+AO5</f>
        <v>2032685.6375</v>
      </c>
    </row>
    <row r="6" spans="2:44" x14ac:dyDescent="0.35">
      <c r="B6" s="301"/>
      <c r="C6" s="1" t="s">
        <v>2</v>
      </c>
      <c r="D6" s="9">
        <v>750</v>
      </c>
      <c r="E6" s="5">
        <v>0</v>
      </c>
      <c r="F6" s="5">
        <v>0</v>
      </c>
      <c r="G6" s="3">
        <v>50</v>
      </c>
      <c r="H6" s="3">
        <v>50</v>
      </c>
      <c r="I6" s="3">
        <v>50</v>
      </c>
      <c r="J6" s="4">
        <f t="shared" ref="J6:J9" si="10">SUM(E6:I6)</f>
        <v>150</v>
      </c>
      <c r="K6" s="66">
        <f t="shared" ref="K6:K9" si="11">J6*2.27</f>
        <v>340.5</v>
      </c>
      <c r="L6" s="28">
        <f t="shared" ref="L6:L9" si="12">(K6/4000)*645</f>
        <v>54.905625000000001</v>
      </c>
      <c r="M6" s="14">
        <f t="shared" si="0"/>
        <v>82358.4375</v>
      </c>
      <c r="N6" s="13">
        <f t="shared" ref="N6:N9" si="13">(K6/1000)*30</f>
        <v>10.215</v>
      </c>
      <c r="O6" s="14">
        <f t="shared" si="1"/>
        <v>38817</v>
      </c>
      <c r="P6" s="53">
        <f t="shared" ref="P6:P9" si="14">(K6/1000)*21000</f>
        <v>7150.5000000000009</v>
      </c>
      <c r="Q6" s="63">
        <f>P6*5</f>
        <v>35752.500000000007</v>
      </c>
      <c r="R6" s="68">
        <f t="shared" ref="R6:R9" si="15">(13.8/100)*J6</f>
        <v>20.700000000000003</v>
      </c>
      <c r="S6" s="53">
        <f t="shared" ref="S6:S9" si="16">R6*12359</f>
        <v>255831.30000000005</v>
      </c>
      <c r="T6" s="62">
        <f t="shared" ref="T6:T9" si="17">(30/100)*J6</f>
        <v>45</v>
      </c>
      <c r="U6" s="53">
        <f t="shared" ref="U6:U9" si="18">T6*12359</f>
        <v>556155</v>
      </c>
      <c r="V6" s="62">
        <f t="shared" ref="V6:V9" si="19">(16.5/100)*J6</f>
        <v>24.75</v>
      </c>
      <c r="W6" s="53">
        <f t="shared" ref="W6:W9" si="20">V6*18848</f>
        <v>466488</v>
      </c>
      <c r="X6" s="62">
        <f t="shared" ref="X6:X9" si="21">(5.5/100)*J6</f>
        <v>8.25</v>
      </c>
      <c r="Y6" s="63">
        <f t="shared" ref="Y6:Y9" si="22">X6*18848</f>
        <v>155496</v>
      </c>
      <c r="Z6" s="52">
        <f>K6/1800</f>
        <v>0.18916666666666668</v>
      </c>
      <c r="AA6" s="14">
        <f t="shared" si="2"/>
        <v>56750</v>
      </c>
      <c r="AB6" s="13">
        <f>(K6/1000)*0.5</f>
        <v>0.17025000000000001</v>
      </c>
      <c r="AC6" s="14">
        <f t="shared" si="3"/>
        <v>30985.5</v>
      </c>
      <c r="AD6" s="13">
        <f>(K6/1000)*1.78</f>
        <v>0.60609000000000002</v>
      </c>
      <c r="AE6" s="29">
        <f t="shared" si="4"/>
        <v>51517.65</v>
      </c>
      <c r="AF6" s="19">
        <f>(K6/1000)*1.2</f>
        <v>0.40860000000000002</v>
      </c>
      <c r="AG6" s="7">
        <f t="shared" si="5"/>
        <v>39838.5</v>
      </c>
      <c r="AH6" s="15">
        <f>(K6/1000)*0.4</f>
        <v>0.13620000000000002</v>
      </c>
      <c r="AI6" s="20">
        <f t="shared" si="6"/>
        <v>135655.20000000001</v>
      </c>
      <c r="AJ6" s="6">
        <f>(K6/1000)*0.25</f>
        <v>8.5125000000000006E-2</v>
      </c>
      <c r="AK6" s="7">
        <f t="shared" si="7"/>
        <v>42136.875</v>
      </c>
      <c r="AL6" s="19">
        <f>(K6/1000)*0.55</f>
        <v>0.18727500000000002</v>
      </c>
      <c r="AM6" s="7">
        <f t="shared" si="8"/>
        <v>3183.6750000000006</v>
      </c>
      <c r="AN6" s="6">
        <f>(K6/1000)*1</f>
        <v>0.34050000000000002</v>
      </c>
      <c r="AO6" s="20">
        <f t="shared" si="9"/>
        <v>81720</v>
      </c>
      <c r="AQ6" s="40" t="s">
        <v>2</v>
      </c>
      <c r="AR6" s="41">
        <f t="shared" ref="AR6:AR9" si="23">M6+O6+Q6+S6+U6+W6+Y6+AA6+AC6+AE6+AG6+AI6+AK6+AM6+AO6</f>
        <v>2032685.6375</v>
      </c>
    </row>
    <row r="7" spans="2:44" x14ac:dyDescent="0.35">
      <c r="B7" s="301"/>
      <c r="C7" s="1" t="s">
        <v>3</v>
      </c>
      <c r="D7" s="10">
        <v>1600</v>
      </c>
      <c r="E7" s="3">
        <v>0</v>
      </c>
      <c r="F7" s="3">
        <v>0</v>
      </c>
      <c r="G7" s="3">
        <v>0</v>
      </c>
      <c r="H7" s="3">
        <v>25</v>
      </c>
      <c r="I7" s="3">
        <v>50</v>
      </c>
      <c r="J7" s="4">
        <f t="shared" si="10"/>
        <v>75</v>
      </c>
      <c r="K7" s="66">
        <f t="shared" si="11"/>
        <v>170.25</v>
      </c>
      <c r="L7" s="28">
        <f t="shared" si="12"/>
        <v>27.4528125</v>
      </c>
      <c r="M7" s="14">
        <f t="shared" si="0"/>
        <v>41179.21875</v>
      </c>
      <c r="N7" s="13">
        <f t="shared" si="13"/>
        <v>5.1074999999999999</v>
      </c>
      <c r="O7" s="14">
        <f t="shared" si="1"/>
        <v>19408.5</v>
      </c>
      <c r="P7" s="53">
        <f t="shared" si="14"/>
        <v>3575.2500000000005</v>
      </c>
      <c r="Q7" s="63">
        <f t="shared" ref="Q7:Q9" si="24">P7*5</f>
        <v>17876.250000000004</v>
      </c>
      <c r="R7" s="68">
        <f t="shared" si="15"/>
        <v>10.350000000000001</v>
      </c>
      <c r="S7" s="53">
        <f t="shared" si="16"/>
        <v>127915.65000000002</v>
      </c>
      <c r="T7" s="62">
        <f t="shared" si="17"/>
        <v>22.5</v>
      </c>
      <c r="U7" s="53">
        <f t="shared" si="18"/>
        <v>278077.5</v>
      </c>
      <c r="V7" s="62">
        <f t="shared" si="19"/>
        <v>12.375</v>
      </c>
      <c r="W7" s="53">
        <f t="shared" si="20"/>
        <v>233244</v>
      </c>
      <c r="X7" s="62">
        <f t="shared" si="21"/>
        <v>4.125</v>
      </c>
      <c r="Y7" s="63">
        <f t="shared" si="22"/>
        <v>77748</v>
      </c>
      <c r="Z7" s="52">
        <f>K7/1800</f>
        <v>9.4583333333333339E-2</v>
      </c>
      <c r="AA7" s="14">
        <f t="shared" si="2"/>
        <v>28375</v>
      </c>
      <c r="AB7" s="13">
        <f>(K7/1000)*0.5</f>
        <v>8.5125000000000006E-2</v>
      </c>
      <c r="AC7" s="14">
        <f t="shared" si="3"/>
        <v>15492.75</v>
      </c>
      <c r="AD7" s="13">
        <f>(K7/1000)*1.78</f>
        <v>0.30304500000000001</v>
      </c>
      <c r="AE7" s="29">
        <f t="shared" si="4"/>
        <v>25758.825000000001</v>
      </c>
      <c r="AF7" s="19">
        <f>(K7/1000)*1.2</f>
        <v>0.20430000000000001</v>
      </c>
      <c r="AG7" s="7">
        <f t="shared" si="5"/>
        <v>19919.25</v>
      </c>
      <c r="AH7" s="15">
        <f>(K7/1000)*0.4</f>
        <v>6.8100000000000008E-2</v>
      </c>
      <c r="AI7" s="20">
        <f t="shared" si="6"/>
        <v>67827.600000000006</v>
      </c>
      <c r="AJ7" s="6">
        <f>(K7/1000)*0.25</f>
        <v>4.2562500000000003E-2</v>
      </c>
      <c r="AK7" s="7">
        <f t="shared" si="7"/>
        <v>21068.4375</v>
      </c>
      <c r="AL7" s="19">
        <f>(K7/1000)*0.55</f>
        <v>9.3637500000000012E-2</v>
      </c>
      <c r="AM7" s="7">
        <f t="shared" si="8"/>
        <v>1591.8375000000003</v>
      </c>
      <c r="AN7" s="6">
        <f>(K7/1000)*1</f>
        <v>0.17025000000000001</v>
      </c>
      <c r="AO7" s="20">
        <f t="shared" si="9"/>
        <v>40860</v>
      </c>
      <c r="AQ7" s="40" t="s">
        <v>3</v>
      </c>
      <c r="AR7" s="41">
        <f t="shared" si="23"/>
        <v>1016342.81875</v>
      </c>
    </row>
    <row r="8" spans="2:44" x14ac:dyDescent="0.35">
      <c r="B8" s="301"/>
      <c r="C8" s="1" t="s">
        <v>4</v>
      </c>
      <c r="D8" s="9">
        <v>650</v>
      </c>
      <c r="E8" s="3">
        <v>0</v>
      </c>
      <c r="F8" s="3">
        <v>0</v>
      </c>
      <c r="G8" s="3">
        <v>0</v>
      </c>
      <c r="H8" s="2">
        <v>0</v>
      </c>
      <c r="I8" s="2">
        <v>0</v>
      </c>
      <c r="J8" s="4">
        <f t="shared" si="10"/>
        <v>0</v>
      </c>
      <c r="K8" s="66">
        <f t="shared" si="11"/>
        <v>0</v>
      </c>
      <c r="L8" s="28">
        <f t="shared" si="12"/>
        <v>0</v>
      </c>
      <c r="M8" s="14">
        <f t="shared" si="0"/>
        <v>0</v>
      </c>
      <c r="N8" s="13">
        <f t="shared" si="13"/>
        <v>0</v>
      </c>
      <c r="O8" s="14">
        <f t="shared" si="1"/>
        <v>0</v>
      </c>
      <c r="P8" s="53">
        <f t="shared" si="14"/>
        <v>0</v>
      </c>
      <c r="Q8" s="63">
        <f t="shared" si="24"/>
        <v>0</v>
      </c>
      <c r="R8" s="68">
        <f t="shared" si="15"/>
        <v>0</v>
      </c>
      <c r="S8" s="53">
        <f t="shared" si="16"/>
        <v>0</v>
      </c>
      <c r="T8" s="62">
        <f t="shared" si="17"/>
        <v>0</v>
      </c>
      <c r="U8" s="53">
        <f t="shared" si="18"/>
        <v>0</v>
      </c>
      <c r="V8" s="62">
        <f t="shared" si="19"/>
        <v>0</v>
      </c>
      <c r="W8" s="53">
        <f t="shared" si="20"/>
        <v>0</v>
      </c>
      <c r="X8" s="62">
        <f t="shared" si="21"/>
        <v>0</v>
      </c>
      <c r="Y8" s="63">
        <f t="shared" si="22"/>
        <v>0</v>
      </c>
      <c r="Z8" s="52">
        <f>K8/1800</f>
        <v>0</v>
      </c>
      <c r="AA8" s="14">
        <f t="shared" si="2"/>
        <v>0</v>
      </c>
      <c r="AB8" s="13">
        <f>(K8/1000)*0.5</f>
        <v>0</v>
      </c>
      <c r="AC8" s="14">
        <f t="shared" si="3"/>
        <v>0</v>
      </c>
      <c r="AD8" s="13">
        <f>(K8/1000)*1.78</f>
        <v>0</v>
      </c>
      <c r="AE8" s="29">
        <f t="shared" si="4"/>
        <v>0</v>
      </c>
      <c r="AF8" s="19">
        <f>(K8/1000)*1.2</f>
        <v>0</v>
      </c>
      <c r="AG8" s="7">
        <f t="shared" si="5"/>
        <v>0</v>
      </c>
      <c r="AH8" s="15">
        <f>(K8/1000)*0.4</f>
        <v>0</v>
      </c>
      <c r="AI8" s="20">
        <f t="shared" si="6"/>
        <v>0</v>
      </c>
      <c r="AJ8" s="6">
        <f>(K8/1000)*0.25</f>
        <v>0</v>
      </c>
      <c r="AK8" s="7">
        <f t="shared" si="7"/>
        <v>0</v>
      </c>
      <c r="AL8" s="19">
        <f>(K8/1000)*0.55</f>
        <v>0</v>
      </c>
      <c r="AM8" s="7">
        <f t="shared" si="8"/>
        <v>0</v>
      </c>
      <c r="AN8" s="6">
        <f>(K8/1000)*1</f>
        <v>0</v>
      </c>
      <c r="AO8" s="20">
        <f t="shared" si="9"/>
        <v>0</v>
      </c>
      <c r="AQ8" s="40" t="s">
        <v>4</v>
      </c>
      <c r="AR8" s="41">
        <f t="shared" si="23"/>
        <v>0</v>
      </c>
    </row>
    <row r="9" spans="2:44" ht="15" thickBot="1" x14ac:dyDescent="0.4">
      <c r="B9" s="301"/>
      <c r="C9" s="1" t="s">
        <v>5</v>
      </c>
      <c r="D9" s="10">
        <v>1050</v>
      </c>
      <c r="E9" s="3">
        <v>0</v>
      </c>
      <c r="F9" s="3">
        <v>0</v>
      </c>
      <c r="G9" s="3">
        <v>0</v>
      </c>
      <c r="H9" s="2">
        <v>25</v>
      </c>
      <c r="I9" s="2">
        <v>125</v>
      </c>
      <c r="J9" s="4">
        <f t="shared" si="10"/>
        <v>150</v>
      </c>
      <c r="K9" s="66">
        <f t="shared" si="11"/>
        <v>340.5</v>
      </c>
      <c r="L9" s="28">
        <f t="shared" si="12"/>
        <v>54.905625000000001</v>
      </c>
      <c r="M9" s="14">
        <f t="shared" si="0"/>
        <v>82358.4375</v>
      </c>
      <c r="N9" s="13">
        <f t="shared" si="13"/>
        <v>10.215</v>
      </c>
      <c r="O9" s="14">
        <f t="shared" si="1"/>
        <v>38817</v>
      </c>
      <c r="P9" s="53">
        <f t="shared" si="14"/>
        <v>7150.5000000000009</v>
      </c>
      <c r="Q9" s="63">
        <f t="shared" si="24"/>
        <v>35752.500000000007</v>
      </c>
      <c r="R9" s="68">
        <f t="shared" si="15"/>
        <v>20.700000000000003</v>
      </c>
      <c r="S9" s="53">
        <f t="shared" si="16"/>
        <v>255831.30000000005</v>
      </c>
      <c r="T9" s="62">
        <f t="shared" si="17"/>
        <v>45</v>
      </c>
      <c r="U9" s="53">
        <f t="shared" si="18"/>
        <v>556155</v>
      </c>
      <c r="V9" s="62">
        <f t="shared" si="19"/>
        <v>24.75</v>
      </c>
      <c r="W9" s="53">
        <f t="shared" si="20"/>
        <v>466488</v>
      </c>
      <c r="X9" s="62">
        <f t="shared" si="21"/>
        <v>8.25</v>
      </c>
      <c r="Y9" s="63">
        <f t="shared" si="22"/>
        <v>155496</v>
      </c>
      <c r="Z9" s="52">
        <f>K9/1800</f>
        <v>0.18916666666666668</v>
      </c>
      <c r="AA9" s="14">
        <f t="shared" si="2"/>
        <v>56750</v>
      </c>
      <c r="AB9" s="13">
        <f>(K9/1000)*0.5</f>
        <v>0.17025000000000001</v>
      </c>
      <c r="AC9" s="14">
        <f t="shared" si="3"/>
        <v>30985.5</v>
      </c>
      <c r="AD9" s="13">
        <f>(K9/1000)*1.78</f>
        <v>0.60609000000000002</v>
      </c>
      <c r="AE9" s="29">
        <f t="shared" si="4"/>
        <v>51517.65</v>
      </c>
      <c r="AF9" s="19">
        <f>(K9/1000)*1.2</f>
        <v>0.40860000000000002</v>
      </c>
      <c r="AG9" s="7">
        <f t="shared" si="5"/>
        <v>39838.5</v>
      </c>
      <c r="AH9" s="15">
        <f>(K9/1000)*0.4</f>
        <v>0.13620000000000002</v>
      </c>
      <c r="AI9" s="20">
        <f t="shared" si="6"/>
        <v>135655.20000000001</v>
      </c>
      <c r="AJ9" s="6">
        <f>(K9/1000)*0.25</f>
        <v>8.5125000000000006E-2</v>
      </c>
      <c r="AK9" s="7">
        <f t="shared" si="7"/>
        <v>42136.875</v>
      </c>
      <c r="AL9" s="19">
        <f>(K9/1000)*0.55</f>
        <v>0.18727500000000002</v>
      </c>
      <c r="AM9" s="7">
        <f t="shared" si="8"/>
        <v>3183.6750000000006</v>
      </c>
      <c r="AN9" s="6">
        <f>(K9/1000)*1</f>
        <v>0.34050000000000002</v>
      </c>
      <c r="AO9" s="20">
        <f t="shared" si="9"/>
        <v>81720</v>
      </c>
      <c r="AQ9" s="42" t="s">
        <v>50</v>
      </c>
      <c r="AR9" s="24">
        <f t="shared" si="23"/>
        <v>2032685.6375</v>
      </c>
    </row>
    <row r="10" spans="2:44" ht="15" thickBot="1" x14ac:dyDescent="0.4">
      <c r="B10" s="302"/>
      <c r="C10" s="33" t="s">
        <v>6</v>
      </c>
      <c r="D10" s="34">
        <f>SUM(D5:D9)</f>
        <v>4670</v>
      </c>
      <c r="E10" s="33">
        <f>SUM(E5:E9)</f>
        <v>0</v>
      </c>
      <c r="F10" s="33">
        <f t="shared" ref="F10:I10" si="25">SUM(F5:F9)</f>
        <v>0</v>
      </c>
      <c r="G10" s="33">
        <f t="shared" si="25"/>
        <v>50</v>
      </c>
      <c r="H10" s="33">
        <f t="shared" si="25"/>
        <v>150</v>
      </c>
      <c r="I10" s="33">
        <f t="shared" si="25"/>
        <v>325</v>
      </c>
      <c r="J10" s="33">
        <f>SUM(J5:J9)</f>
        <v>525</v>
      </c>
      <c r="K10" s="61">
        <f>SUM(K5:K9)</f>
        <v>1191.75</v>
      </c>
      <c r="L10" s="32">
        <f t="shared" ref="L10:Y10" si="26">SUM(L5:L9)</f>
        <v>192.16968750000001</v>
      </c>
      <c r="M10" s="22">
        <f t="shared" si="26"/>
        <v>288254.53125</v>
      </c>
      <c r="N10" s="65">
        <f t="shared" si="26"/>
        <v>35.752499999999998</v>
      </c>
      <c r="O10" s="22">
        <f t="shared" si="26"/>
        <v>135859.5</v>
      </c>
      <c r="P10" s="22">
        <f t="shared" si="26"/>
        <v>25026.750000000004</v>
      </c>
      <c r="Q10" s="24">
        <f t="shared" si="26"/>
        <v>125133.75000000003</v>
      </c>
      <c r="R10" s="69">
        <f t="shared" si="26"/>
        <v>72.450000000000017</v>
      </c>
      <c r="S10" s="64">
        <f t="shared" si="26"/>
        <v>895409.55000000016</v>
      </c>
      <c r="T10" s="65">
        <f t="shared" si="26"/>
        <v>157.5</v>
      </c>
      <c r="U10" s="64">
        <f t="shared" si="26"/>
        <v>1946542.5</v>
      </c>
      <c r="V10" s="65">
        <f t="shared" si="26"/>
        <v>86.625</v>
      </c>
      <c r="W10" s="64">
        <f t="shared" si="26"/>
        <v>1632708</v>
      </c>
      <c r="X10" s="65">
        <f t="shared" si="26"/>
        <v>28.875</v>
      </c>
      <c r="Y10" s="60">
        <f t="shared" si="26"/>
        <v>544236</v>
      </c>
      <c r="Z10" s="35">
        <f t="shared" ref="Z10" si="27">SUM(Z5:Z9)</f>
        <v>0.66208333333333336</v>
      </c>
      <c r="AA10" s="22">
        <f t="shared" ref="AA10" si="28">SUM(AA5:AA9)</f>
        <v>198625</v>
      </c>
      <c r="AB10" s="23">
        <f>SUM(AB5:AB9)</f>
        <v>0.59587500000000004</v>
      </c>
      <c r="AC10" s="22">
        <f>SUM(AC5:AC9)</f>
        <v>108449.25</v>
      </c>
      <c r="AD10" s="23">
        <f>SUM(AD5:AD9)</f>
        <v>2.1213150000000001</v>
      </c>
      <c r="AE10" s="24">
        <f>SUM(AE5:AE9)</f>
        <v>180311.77499999999</v>
      </c>
      <c r="AF10" s="21">
        <f t="shared" ref="AF10:AK10" si="29">SUM(AF5:AF9)</f>
        <v>1.4301000000000001</v>
      </c>
      <c r="AG10" s="22">
        <f t="shared" si="29"/>
        <v>139434.75</v>
      </c>
      <c r="AH10" s="23">
        <f t="shared" si="29"/>
        <v>0.47670000000000001</v>
      </c>
      <c r="AI10" s="24">
        <f t="shared" si="29"/>
        <v>474793.2</v>
      </c>
      <c r="AJ10" s="43">
        <f t="shared" si="29"/>
        <v>0.29793750000000002</v>
      </c>
      <c r="AK10" s="24">
        <f t="shared" si="29"/>
        <v>147479.0625</v>
      </c>
      <c r="AL10" s="21">
        <f t="shared" ref="AL10" si="30">SUM(AL5:AL9)</f>
        <v>0.65546250000000006</v>
      </c>
      <c r="AM10" s="22">
        <f t="shared" ref="AM10" si="31">SUM(AM5:AM9)</f>
        <v>11142.862500000003</v>
      </c>
      <c r="AN10" s="23">
        <f t="shared" ref="AN10:AO10" si="32">SUM(AN5:AN9)</f>
        <v>1.1917500000000001</v>
      </c>
      <c r="AO10" s="24">
        <f t="shared" si="32"/>
        <v>286020</v>
      </c>
      <c r="AQ10" s="71" t="s">
        <v>52</v>
      </c>
      <c r="AR10" s="72">
        <f>SUM(AR5:AR9)</f>
        <v>7114399.7312500002</v>
      </c>
    </row>
    <row r="11" spans="2:44" ht="15" thickBot="1" x14ac:dyDescent="0.4"/>
    <row r="12" spans="2:44" ht="15" customHeight="1" x14ac:dyDescent="0.35">
      <c r="AF12" s="285" t="s">
        <v>54</v>
      </c>
      <c r="AG12" s="286"/>
      <c r="AH12" s="286"/>
      <c r="AI12" s="287"/>
      <c r="AJ12" s="44"/>
      <c r="AK12" s="44"/>
    </row>
    <row r="13" spans="2:44" x14ac:dyDescent="0.35">
      <c r="AF13" s="288"/>
      <c r="AG13" s="289"/>
      <c r="AH13" s="289"/>
      <c r="AI13" s="290"/>
      <c r="AJ13" s="44"/>
      <c r="AK13" s="44"/>
    </row>
    <row r="14" spans="2:44" ht="15" thickBot="1" x14ac:dyDescent="0.4">
      <c r="AF14" s="291"/>
      <c r="AG14" s="292"/>
      <c r="AH14" s="292"/>
      <c r="AI14" s="293"/>
      <c r="AJ14" s="44"/>
      <c r="AK14" s="44"/>
    </row>
    <row r="26" ht="26.25" customHeight="1" x14ac:dyDescent="0.35"/>
    <row r="27" ht="26.25" customHeight="1" x14ac:dyDescent="0.35"/>
  </sheetData>
  <mergeCells count="35">
    <mergeCell ref="B5:B10"/>
    <mergeCell ref="L3:M3"/>
    <mergeCell ref="N3:O3"/>
    <mergeCell ref="P3:Q3"/>
    <mergeCell ref="B3:B4"/>
    <mergeCell ref="C3:C4"/>
    <mergeCell ref="E3:E4"/>
    <mergeCell ref="F3:F4"/>
    <mergeCell ref="G3:G4"/>
    <mergeCell ref="AQ3:AQ4"/>
    <mergeCell ref="AR3:AR4"/>
    <mergeCell ref="AH3:AI3"/>
    <mergeCell ref="AF2:AI2"/>
    <mergeCell ref="AF12:AI14"/>
    <mergeCell ref="AF3:AG3"/>
    <mergeCell ref="AJ3:AK3"/>
    <mergeCell ref="AJ2:AO2"/>
    <mergeCell ref="AL3:AM3"/>
    <mergeCell ref="AN3:AO3"/>
    <mergeCell ref="Z2:AE2"/>
    <mergeCell ref="Z3:AA3"/>
    <mergeCell ref="AB3:AC3"/>
    <mergeCell ref="AD3:AE3"/>
    <mergeCell ref="D3:D4"/>
    <mergeCell ref="H3:H4"/>
    <mergeCell ref="I3:I4"/>
    <mergeCell ref="J3:J4"/>
    <mergeCell ref="K3:K4"/>
    <mergeCell ref="B2:K2"/>
    <mergeCell ref="L2:Q2"/>
    <mergeCell ref="R2:Y2"/>
    <mergeCell ref="X3:Y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006E-C7A9-4904-89EF-29FBCAE70CFE}">
  <dimension ref="B1:D9"/>
  <sheetViews>
    <sheetView workbookViewId="0">
      <selection activeCell="D8" sqref="B2:D8"/>
    </sheetView>
  </sheetViews>
  <sheetFormatPr defaultRowHeight="14.5" x14ac:dyDescent="0.35"/>
  <cols>
    <col min="2" max="2" width="16.1796875" customWidth="1"/>
    <col min="3" max="3" width="13.81640625" customWidth="1"/>
    <col min="4" max="4" width="15.26953125" customWidth="1"/>
  </cols>
  <sheetData>
    <row r="1" spans="2:4" ht="15" thickBot="1" x14ac:dyDescent="0.4"/>
    <row r="2" spans="2:4" ht="15" thickBot="1" x14ac:dyDescent="0.4">
      <c r="B2" s="223"/>
      <c r="C2" s="224" t="s">
        <v>213</v>
      </c>
      <c r="D2" s="224" t="s">
        <v>214</v>
      </c>
    </row>
    <row r="3" spans="2:4" ht="26.5" thickBot="1" x14ac:dyDescent="0.4">
      <c r="B3" s="225" t="s">
        <v>215</v>
      </c>
      <c r="C3" s="229">
        <v>3993</v>
      </c>
      <c r="D3" s="233">
        <f>C3*2.25</f>
        <v>8984.25</v>
      </c>
    </row>
    <row r="4" spans="2:4" ht="15" thickBot="1" x14ac:dyDescent="0.4">
      <c r="B4" s="225" t="s">
        <v>216</v>
      </c>
      <c r="C4" s="229">
        <v>2339</v>
      </c>
      <c r="D4" s="233">
        <f t="shared" ref="D4:D8" si="0">C4*2.25</f>
        <v>5262.75</v>
      </c>
    </row>
    <row r="5" spans="2:4" ht="15" thickBot="1" x14ac:dyDescent="0.4">
      <c r="B5" s="225" t="s">
        <v>217</v>
      </c>
      <c r="C5" s="229">
        <f>'Plan Period Infrastructure'!H28</f>
        <v>1002</v>
      </c>
      <c r="D5" s="233">
        <f t="shared" si="0"/>
        <v>2254.5</v>
      </c>
    </row>
    <row r="6" spans="2:4" ht="15" thickBot="1" x14ac:dyDescent="0.4">
      <c r="B6" s="225" t="s">
        <v>179</v>
      </c>
      <c r="C6" s="230">
        <v>607</v>
      </c>
      <c r="D6" s="233">
        <f t="shared" si="0"/>
        <v>1365.75</v>
      </c>
    </row>
    <row r="7" spans="2:4" ht="15" thickBot="1" x14ac:dyDescent="0.4">
      <c r="B7" s="226" t="s">
        <v>218</v>
      </c>
      <c r="C7" s="231">
        <f>SUM(C3:C6)</f>
        <v>7941</v>
      </c>
      <c r="D7" s="231">
        <f t="shared" si="0"/>
        <v>17867.25</v>
      </c>
    </row>
    <row r="8" spans="2:4" ht="26.5" thickBot="1" x14ac:dyDescent="0.4">
      <c r="B8" s="227" t="s">
        <v>219</v>
      </c>
      <c r="C8" s="232">
        <f>C7-(C3+C4)</f>
        <v>1609</v>
      </c>
      <c r="D8" s="232">
        <f t="shared" si="0"/>
        <v>3620.25</v>
      </c>
    </row>
    <row r="9" spans="2:4" x14ac:dyDescent="0.35">
      <c r="B9" s="2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55"/>
  <sheetViews>
    <sheetView tabSelected="1" topLeftCell="AG1" zoomScaleNormal="100" workbookViewId="0">
      <selection activeCell="J5" sqref="J5"/>
    </sheetView>
  </sheetViews>
  <sheetFormatPr defaultColWidth="9.1796875" defaultRowHeight="13" x14ac:dyDescent="0.3"/>
  <cols>
    <col min="1" max="1" width="8.54296875" style="199" customWidth="1"/>
    <col min="2" max="2" width="19.7265625" style="199" customWidth="1"/>
    <col min="3" max="3" width="13.7265625" style="199" customWidth="1"/>
    <col min="4" max="4" width="51.81640625" style="199" customWidth="1"/>
    <col min="5" max="7" width="8.81640625" style="199" hidden="1" customWidth="1"/>
    <col min="8" max="8" width="16" style="199" customWidth="1"/>
    <col min="9" max="9" width="12.7265625" style="199" customWidth="1"/>
    <col min="10" max="10" width="12" style="199" customWidth="1"/>
    <col min="11" max="11" width="10.453125" style="199" customWidth="1"/>
    <col min="12" max="12" width="12" style="199" customWidth="1"/>
    <col min="13" max="13" width="8.81640625" style="199" customWidth="1"/>
    <col min="14" max="14" width="16.453125" style="199" customWidth="1"/>
    <col min="15" max="15" width="17.81640625" style="199" customWidth="1"/>
    <col min="16" max="16" width="12" style="199" customWidth="1"/>
    <col min="17" max="17" width="13" style="199" customWidth="1"/>
    <col min="18" max="18" width="13.7265625" style="199" customWidth="1"/>
    <col min="19" max="19" width="13.1796875" style="199" customWidth="1"/>
    <col min="20" max="20" width="15.7265625" style="199" customWidth="1"/>
    <col min="21" max="21" width="15.1796875" style="199" customWidth="1"/>
    <col min="22" max="22" width="13.1796875" style="199" customWidth="1"/>
    <col min="23" max="23" width="13.81640625" style="199" customWidth="1"/>
    <col min="24" max="24" width="12.1796875" style="199" customWidth="1"/>
    <col min="25" max="25" width="9.26953125" style="199" customWidth="1"/>
    <col min="26" max="26" width="15.54296875" style="199" customWidth="1"/>
    <col min="27" max="27" width="8.81640625" style="199" customWidth="1"/>
    <col min="28" max="28" width="12.26953125" style="199" customWidth="1"/>
    <col min="29" max="29" width="10.26953125" style="199" customWidth="1"/>
    <col min="30" max="30" width="12.81640625" style="199" bestFit="1" customWidth="1"/>
    <col min="31" max="31" width="11.453125" style="199" bestFit="1" customWidth="1"/>
    <col min="32" max="32" width="12.7265625" style="199" bestFit="1" customWidth="1"/>
    <col min="33" max="33" width="11.453125" style="199" bestFit="1" customWidth="1"/>
    <col min="34" max="34" width="10.7265625" style="199" bestFit="1" customWidth="1"/>
    <col min="35" max="35" width="11.453125" style="199" bestFit="1" customWidth="1"/>
    <col min="36" max="36" width="10.7265625" style="199" bestFit="1" customWidth="1"/>
    <col min="37" max="37" width="11.1796875" style="199" customWidth="1"/>
    <col min="38" max="38" width="12.1796875" style="199" customWidth="1"/>
    <col min="39" max="39" width="10.1796875" style="199" customWidth="1"/>
    <col min="40" max="40" width="10.7265625" style="199" bestFit="1" customWidth="1"/>
    <col min="41" max="41" width="10.453125" style="199" bestFit="1" customWidth="1"/>
    <col min="42" max="42" width="10.81640625" style="199" customWidth="1"/>
    <col min="43" max="43" width="10.453125" style="199" customWidth="1"/>
    <col min="44" max="44" width="7.26953125" style="199" customWidth="1"/>
    <col min="45" max="45" width="33.453125" style="199" bestFit="1" customWidth="1"/>
    <col min="46" max="46" width="12.453125" style="199" customWidth="1"/>
    <col min="47" max="144" width="9.1796875" style="206"/>
    <col min="145" max="16384" width="9.1796875" style="199"/>
  </cols>
  <sheetData>
    <row r="1" spans="1:144" ht="13.5" thickBot="1" x14ac:dyDescent="0.35"/>
    <row r="2" spans="1:144" ht="13.5" thickBot="1" x14ac:dyDescent="0.35">
      <c r="A2" s="264" t="s">
        <v>107</v>
      </c>
      <c r="B2" s="265"/>
      <c r="C2" s="265"/>
      <c r="D2" s="265"/>
      <c r="E2" s="265"/>
      <c r="F2" s="265"/>
      <c r="G2" s="265"/>
      <c r="H2" s="265"/>
      <c r="I2" s="266"/>
      <c r="J2" s="331" t="s">
        <v>45</v>
      </c>
      <c r="K2" s="332"/>
      <c r="L2" s="332"/>
      <c r="M2" s="332"/>
      <c r="N2" s="332"/>
      <c r="O2" s="333"/>
      <c r="P2" s="334" t="s">
        <v>85</v>
      </c>
      <c r="Q2" s="335"/>
      <c r="R2" s="335"/>
      <c r="S2" s="335"/>
      <c r="T2" s="335"/>
      <c r="U2" s="335"/>
      <c r="V2" s="335"/>
      <c r="W2" s="336"/>
      <c r="X2" s="252" t="s">
        <v>47</v>
      </c>
      <c r="Y2" s="253"/>
      <c r="Z2" s="253"/>
      <c r="AA2" s="253"/>
      <c r="AB2" s="253"/>
      <c r="AC2" s="254"/>
      <c r="AD2" s="340" t="s">
        <v>48</v>
      </c>
      <c r="AE2" s="341"/>
      <c r="AF2" s="341"/>
      <c r="AG2" s="341"/>
      <c r="AH2" s="341"/>
      <c r="AI2" s="341"/>
      <c r="AJ2" s="341"/>
      <c r="AK2" s="342"/>
      <c r="AL2" s="297" t="s">
        <v>49</v>
      </c>
      <c r="AM2" s="298"/>
      <c r="AN2" s="298"/>
      <c r="AO2" s="298"/>
      <c r="AP2" s="298"/>
      <c r="AQ2" s="299"/>
    </row>
    <row r="3" spans="1:144" ht="20.149999999999999" customHeight="1" x14ac:dyDescent="0.3">
      <c r="A3" s="308" t="s">
        <v>128</v>
      </c>
      <c r="B3" s="309" t="s">
        <v>129</v>
      </c>
      <c r="C3" s="309" t="s">
        <v>130</v>
      </c>
      <c r="D3" s="309" t="s">
        <v>109</v>
      </c>
      <c r="E3" s="309" t="s">
        <v>9</v>
      </c>
      <c r="F3" s="309" t="s">
        <v>34</v>
      </c>
      <c r="G3" s="309" t="s">
        <v>35</v>
      </c>
      <c r="H3" s="258" t="s">
        <v>140</v>
      </c>
      <c r="I3" s="314" t="s">
        <v>10</v>
      </c>
      <c r="J3" s="303" t="s">
        <v>11</v>
      </c>
      <c r="K3" s="304"/>
      <c r="L3" s="304" t="s">
        <v>12</v>
      </c>
      <c r="M3" s="304"/>
      <c r="N3" s="304" t="s">
        <v>13</v>
      </c>
      <c r="O3" s="305"/>
      <c r="P3" s="337" t="s">
        <v>86</v>
      </c>
      <c r="Q3" s="273"/>
      <c r="R3" s="273" t="s">
        <v>87</v>
      </c>
      <c r="S3" s="273"/>
      <c r="T3" s="273" t="s">
        <v>89</v>
      </c>
      <c r="U3" s="273"/>
      <c r="V3" s="338" t="s">
        <v>88</v>
      </c>
      <c r="W3" s="339"/>
      <c r="X3" s="327" t="s">
        <v>16</v>
      </c>
      <c r="Y3" s="328"/>
      <c r="Z3" s="328" t="s">
        <v>17</v>
      </c>
      <c r="AA3" s="328"/>
      <c r="AB3" s="328" t="s">
        <v>18</v>
      </c>
      <c r="AC3" s="329"/>
      <c r="AD3" s="343" t="s">
        <v>36</v>
      </c>
      <c r="AE3" s="319"/>
      <c r="AF3" s="319" t="s">
        <v>37</v>
      </c>
      <c r="AG3" s="319"/>
      <c r="AH3" s="319" t="s">
        <v>23</v>
      </c>
      <c r="AI3" s="319"/>
      <c r="AJ3" s="319" t="s">
        <v>25</v>
      </c>
      <c r="AK3" s="324"/>
      <c r="AL3" s="325" t="s">
        <v>31</v>
      </c>
      <c r="AM3" s="326"/>
      <c r="AN3" s="326" t="s">
        <v>32</v>
      </c>
      <c r="AO3" s="326"/>
      <c r="AP3" s="326" t="s">
        <v>69</v>
      </c>
      <c r="AQ3" s="330"/>
      <c r="AS3" s="276" t="s">
        <v>51</v>
      </c>
      <c r="AT3" s="278" t="s">
        <v>44</v>
      </c>
    </row>
    <row r="4" spans="1:144" ht="32.25" customHeight="1" thickBot="1" x14ac:dyDescent="0.35">
      <c r="A4" s="306"/>
      <c r="B4" s="260"/>
      <c r="C4" s="260"/>
      <c r="D4" s="260"/>
      <c r="E4" s="260"/>
      <c r="F4" s="260"/>
      <c r="G4" s="260"/>
      <c r="H4" s="313"/>
      <c r="I4" s="315"/>
      <c r="J4" s="140" t="s">
        <v>14</v>
      </c>
      <c r="K4" s="141" t="s">
        <v>15</v>
      </c>
      <c r="L4" s="141" t="s">
        <v>14</v>
      </c>
      <c r="M4" s="141" t="s">
        <v>15</v>
      </c>
      <c r="N4" s="141" t="s">
        <v>19</v>
      </c>
      <c r="O4" s="142" t="s">
        <v>46</v>
      </c>
      <c r="P4" s="143" t="s">
        <v>102</v>
      </c>
      <c r="Q4" s="144" t="s">
        <v>15</v>
      </c>
      <c r="R4" s="143" t="s">
        <v>102</v>
      </c>
      <c r="S4" s="144" t="s">
        <v>15</v>
      </c>
      <c r="T4" s="143" t="s">
        <v>102</v>
      </c>
      <c r="U4" s="144" t="s">
        <v>15</v>
      </c>
      <c r="V4" s="143" t="s">
        <v>102</v>
      </c>
      <c r="W4" s="145" t="s">
        <v>15</v>
      </c>
      <c r="X4" s="146" t="s">
        <v>29</v>
      </c>
      <c r="Y4" s="147" t="s">
        <v>15</v>
      </c>
      <c r="Z4" s="147" t="s">
        <v>28</v>
      </c>
      <c r="AA4" s="147" t="s">
        <v>15</v>
      </c>
      <c r="AB4" s="147" t="s">
        <v>27</v>
      </c>
      <c r="AC4" s="148" t="s">
        <v>15</v>
      </c>
      <c r="AD4" s="149" t="s">
        <v>38</v>
      </c>
      <c r="AE4" s="150" t="s">
        <v>15</v>
      </c>
      <c r="AF4" s="150" t="s">
        <v>39</v>
      </c>
      <c r="AG4" s="150" t="s">
        <v>15</v>
      </c>
      <c r="AH4" s="150" t="s">
        <v>26</v>
      </c>
      <c r="AI4" s="150" t="s">
        <v>15</v>
      </c>
      <c r="AJ4" s="150" t="s">
        <v>26</v>
      </c>
      <c r="AK4" s="151" t="s">
        <v>15</v>
      </c>
      <c r="AL4" s="152" t="s">
        <v>26</v>
      </c>
      <c r="AM4" s="153" t="s">
        <v>15</v>
      </c>
      <c r="AN4" s="153" t="s">
        <v>26</v>
      </c>
      <c r="AO4" s="154" t="s">
        <v>15</v>
      </c>
      <c r="AP4" s="153" t="s">
        <v>26</v>
      </c>
      <c r="AQ4" s="155" t="s">
        <v>15</v>
      </c>
      <c r="AS4" s="323"/>
      <c r="AT4" s="279"/>
    </row>
    <row r="5" spans="1:144" s="207" customFormat="1" ht="13.5" thickBot="1" x14ac:dyDescent="0.35">
      <c r="A5" s="176" t="s">
        <v>110</v>
      </c>
      <c r="B5" s="178" t="s">
        <v>131</v>
      </c>
      <c r="C5" s="177">
        <v>2.2799999999999998</v>
      </c>
      <c r="D5" s="178" t="s">
        <v>210</v>
      </c>
      <c r="E5" s="179"/>
      <c r="F5" s="179"/>
      <c r="G5" s="179"/>
      <c r="H5" s="180">
        <v>10</v>
      </c>
      <c r="I5" s="181">
        <f>H5*2.25</f>
        <v>22.5</v>
      </c>
      <c r="J5" s="171">
        <f>(I5/4000)*645</f>
        <v>3.6281249999999998</v>
      </c>
      <c r="K5" s="103">
        <f t="shared" ref="K5:K29" si="0">J5*1500</f>
        <v>5442.1875</v>
      </c>
      <c r="L5" s="104">
        <f>(I5/1000)*30</f>
        <v>0.67499999999999993</v>
      </c>
      <c r="M5" s="103">
        <f t="shared" ref="M5:M29" si="1">L5*3800</f>
        <v>2564.9999999999995</v>
      </c>
      <c r="N5" s="103">
        <f>(I5/1000)*21000</f>
        <v>472.5</v>
      </c>
      <c r="O5" s="105">
        <f>N5*15</f>
        <v>7087.5</v>
      </c>
      <c r="P5" s="133">
        <f>(26/100)*H5</f>
        <v>2.6</v>
      </c>
      <c r="Q5" s="103">
        <f>P5*14541</f>
        <v>37806.6</v>
      </c>
      <c r="R5" s="134">
        <f>(37/100)*H5</f>
        <v>3.7</v>
      </c>
      <c r="S5" s="103">
        <f>R5*14541</f>
        <v>53801.700000000004</v>
      </c>
      <c r="T5" s="134">
        <f>(19/100)*H5</f>
        <v>1.9</v>
      </c>
      <c r="U5" s="103">
        <f>T5*18779</f>
        <v>35680.1</v>
      </c>
      <c r="V5" s="134">
        <f>(5.5/100)*H5</f>
        <v>0.55000000000000004</v>
      </c>
      <c r="W5" s="105">
        <f>V5*18779</f>
        <v>10328.450000000001</v>
      </c>
      <c r="X5" s="102">
        <f>I5/1800</f>
        <v>1.2500000000000001E-2</v>
      </c>
      <c r="Y5" s="103">
        <f>X5*130*1750</f>
        <v>2843.75</v>
      </c>
      <c r="Z5" s="104">
        <f>(I5/1000)*0.5</f>
        <v>1.125E-2</v>
      </c>
      <c r="AA5" s="103">
        <f>Z5*130*1750</f>
        <v>2559.375</v>
      </c>
      <c r="AB5" s="104">
        <f>(I5/1000)*1.78</f>
        <v>4.0050000000000002E-2</v>
      </c>
      <c r="AC5" s="135">
        <f>AB5*50*2390</f>
        <v>4785.9749999999995</v>
      </c>
      <c r="AD5" s="136">
        <v>0.01</v>
      </c>
      <c r="AE5" s="118">
        <v>20791</v>
      </c>
      <c r="AF5" s="137">
        <v>0.01</v>
      </c>
      <c r="AG5" s="118">
        <v>19333</v>
      </c>
      <c r="AH5" s="119">
        <f>(I5/1000)*1.2</f>
        <v>2.7E-2</v>
      </c>
      <c r="AI5" s="118">
        <f t="shared" ref="AI5:AI29" si="2">(AH5*10000)*9.75</f>
        <v>2632.5</v>
      </c>
      <c r="AJ5" s="137">
        <f>(I5/1000)*0.4</f>
        <v>8.9999999999999993E-3</v>
      </c>
      <c r="AK5" s="138">
        <f>(AJ5*10000)*96.1</f>
        <v>8649</v>
      </c>
      <c r="AL5" s="117">
        <f t="shared" ref="AL5:AL29" si="3">(I5/1000)*0.55</f>
        <v>1.2375000000000001E-2</v>
      </c>
      <c r="AM5" s="118">
        <f t="shared" ref="AM5:AM29" si="4">AL5*17000</f>
        <v>210.375</v>
      </c>
      <c r="AN5" s="119">
        <f>(I5/1000)*1.8</f>
        <v>4.0500000000000001E-2</v>
      </c>
      <c r="AO5" s="118">
        <f t="shared" ref="AO5:AO29" si="5">AN5*240000</f>
        <v>9720</v>
      </c>
      <c r="AP5" s="120">
        <f>(I5/1000)*0.25</f>
        <v>5.6249999999999998E-3</v>
      </c>
      <c r="AQ5" s="139">
        <f>AP5*495000</f>
        <v>2784.375</v>
      </c>
      <c r="AR5" s="206"/>
      <c r="AS5" s="178" t="s">
        <v>210</v>
      </c>
      <c r="AT5" s="123">
        <f>K5+M5+O5+Y5+AA5+AC5+AE5+AG5+AI5+AK5+AM5+AO5+AQ5</f>
        <v>89404.037500000006</v>
      </c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</row>
    <row r="6" spans="1:144" s="222" customFormat="1" x14ac:dyDescent="0.3">
      <c r="A6" s="182" t="s">
        <v>111</v>
      </c>
      <c r="B6" s="98" t="s">
        <v>132</v>
      </c>
      <c r="C6" s="99">
        <v>1.95</v>
      </c>
      <c r="D6" s="98" t="s">
        <v>104</v>
      </c>
      <c r="E6" s="100"/>
      <c r="F6" s="100"/>
      <c r="G6" s="100"/>
      <c r="H6" s="235">
        <v>26</v>
      </c>
      <c r="I6" s="101">
        <f t="shared" ref="I6:I29" si="6">H6*2.25</f>
        <v>58.5</v>
      </c>
      <c r="J6" s="171">
        <f t="shared" ref="J6:J29" si="7">(I6/4000)*645</f>
        <v>9.4331250000000004</v>
      </c>
      <c r="K6" s="103">
        <f t="shared" si="0"/>
        <v>14149.6875</v>
      </c>
      <c r="L6" s="104">
        <f t="shared" ref="L6:L29" si="8">(I6/1000)*30</f>
        <v>1.7550000000000001</v>
      </c>
      <c r="M6" s="103">
        <f t="shared" si="1"/>
        <v>6669</v>
      </c>
      <c r="N6" s="103">
        <f t="shared" ref="N6:N29" si="9">(I6/1000)*21000</f>
        <v>1228.5</v>
      </c>
      <c r="O6" s="105">
        <f t="shared" ref="O6:O29" si="10">N6*15</f>
        <v>18427.5</v>
      </c>
      <c r="P6" s="133">
        <f t="shared" ref="P6:P25" si="11">(26/100)*H6</f>
        <v>6.76</v>
      </c>
      <c r="Q6" s="103">
        <f t="shared" ref="Q6:Q25" si="12">P6*14541</f>
        <v>98297.16</v>
      </c>
      <c r="R6" s="134">
        <f t="shared" ref="R6:R25" si="13">(37/100)*H6</f>
        <v>9.6199999999999992</v>
      </c>
      <c r="S6" s="103">
        <f t="shared" ref="S6:S25" si="14">R6*14541</f>
        <v>139884.41999999998</v>
      </c>
      <c r="T6" s="134">
        <f t="shared" ref="T6:T25" si="15">(19/100)*H6</f>
        <v>4.9400000000000004</v>
      </c>
      <c r="U6" s="103">
        <f t="shared" ref="U6:U25" si="16">T6*18779</f>
        <v>92768.260000000009</v>
      </c>
      <c r="V6" s="134">
        <f t="shared" ref="V6:V29" si="17">(5.5/100)*H6</f>
        <v>1.43</v>
      </c>
      <c r="W6" s="105">
        <f t="shared" ref="W6:W25" si="18">V6*18779</f>
        <v>26853.969999999998</v>
      </c>
      <c r="X6" s="102">
        <f t="shared" ref="X6:X29" si="19">I6/1800</f>
        <v>3.2500000000000001E-2</v>
      </c>
      <c r="Y6" s="103">
        <f t="shared" ref="Y6:Y29" si="20">X6*130*1750</f>
        <v>7393.7500000000009</v>
      </c>
      <c r="Z6" s="104">
        <f t="shared" ref="Z6:Z29" si="21">(I6/1000)*0.5</f>
        <v>2.9250000000000002E-2</v>
      </c>
      <c r="AA6" s="103">
        <f t="shared" ref="AA6:AA29" si="22">Z6*130*1750</f>
        <v>6654.375</v>
      </c>
      <c r="AB6" s="104">
        <f t="shared" ref="AB6:AB29" si="23">(I6/1000)*1.78</f>
        <v>0.10413000000000001</v>
      </c>
      <c r="AC6" s="135">
        <f t="shared" ref="AC6:AC29" si="24">AB6*50*2390</f>
        <v>12443.535000000002</v>
      </c>
      <c r="AD6" s="136">
        <v>0</v>
      </c>
      <c r="AE6" s="118">
        <v>10855</v>
      </c>
      <c r="AF6" s="137">
        <v>0</v>
      </c>
      <c r="AG6" s="118">
        <v>10094</v>
      </c>
      <c r="AH6" s="119">
        <f t="shared" ref="AH6:AH29" si="25">(I6/1000)*1.2</f>
        <v>7.0199999999999999E-2</v>
      </c>
      <c r="AI6" s="118">
        <f t="shared" si="2"/>
        <v>6844.5</v>
      </c>
      <c r="AJ6" s="137">
        <f t="shared" ref="AJ6:AJ24" si="26">(I6/1000)*0.4</f>
        <v>2.3400000000000004E-2</v>
      </c>
      <c r="AK6" s="138">
        <f t="shared" ref="AK6:AK29" si="27">(AJ6*10000)*96.1</f>
        <v>22487.4</v>
      </c>
      <c r="AL6" s="117">
        <f t="shared" si="3"/>
        <v>3.2175000000000002E-2</v>
      </c>
      <c r="AM6" s="118">
        <f t="shared" si="4"/>
        <v>546.97500000000002</v>
      </c>
      <c r="AN6" s="119">
        <f t="shared" ref="AN6:AN29" si="28">(I6/1000)*1.8</f>
        <v>0.1053</v>
      </c>
      <c r="AO6" s="118">
        <f t="shared" si="5"/>
        <v>25272</v>
      </c>
      <c r="AP6" s="120">
        <f t="shared" ref="AP6:AP29" si="29">(I6/1000)*0.25</f>
        <v>1.4625000000000001E-2</v>
      </c>
      <c r="AQ6" s="139">
        <f>AP6*495000</f>
        <v>7239.375</v>
      </c>
      <c r="AR6" s="206"/>
      <c r="AS6" s="178" t="s">
        <v>104</v>
      </c>
      <c r="AT6" s="123">
        <f>K6+M6+O6+Y6+AA6+AC6+AE6+AG6+AI6+AK6+AM6+AO6+AQ6</f>
        <v>149077.0975</v>
      </c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</row>
    <row r="7" spans="1:144" s="208" customFormat="1" x14ac:dyDescent="0.3">
      <c r="A7" s="182" t="s">
        <v>188</v>
      </c>
      <c r="B7" s="98" t="s">
        <v>134</v>
      </c>
      <c r="C7" s="99">
        <v>0.35</v>
      </c>
      <c r="D7" s="98" t="s">
        <v>105</v>
      </c>
      <c r="E7" s="100"/>
      <c r="F7" s="100"/>
      <c r="G7" s="100"/>
      <c r="H7" s="236">
        <v>30</v>
      </c>
      <c r="I7" s="101">
        <f t="shared" si="6"/>
        <v>67.5</v>
      </c>
      <c r="J7" s="171">
        <f t="shared" si="7"/>
        <v>10.884375</v>
      </c>
      <c r="K7" s="103">
        <f t="shared" si="0"/>
        <v>16326.5625</v>
      </c>
      <c r="L7" s="104">
        <f t="shared" si="8"/>
        <v>2.0250000000000004</v>
      </c>
      <c r="M7" s="103">
        <f t="shared" si="1"/>
        <v>7695.0000000000009</v>
      </c>
      <c r="N7" s="103">
        <f t="shared" si="9"/>
        <v>1417.5</v>
      </c>
      <c r="O7" s="105">
        <f t="shared" si="10"/>
        <v>21262.5</v>
      </c>
      <c r="P7" s="133">
        <f t="shared" si="11"/>
        <v>7.8000000000000007</v>
      </c>
      <c r="Q7" s="103">
        <f t="shared" si="12"/>
        <v>113419.80000000002</v>
      </c>
      <c r="R7" s="134">
        <f t="shared" si="13"/>
        <v>11.1</v>
      </c>
      <c r="S7" s="103">
        <f t="shared" si="14"/>
        <v>161405.1</v>
      </c>
      <c r="T7" s="134">
        <f t="shared" si="15"/>
        <v>5.7</v>
      </c>
      <c r="U7" s="103">
        <f t="shared" si="16"/>
        <v>107040.3</v>
      </c>
      <c r="V7" s="107">
        <f t="shared" si="17"/>
        <v>1.65</v>
      </c>
      <c r="W7" s="105">
        <f t="shared" si="18"/>
        <v>30985.35</v>
      </c>
      <c r="X7" s="109">
        <f t="shared" si="19"/>
        <v>3.7499999999999999E-2</v>
      </c>
      <c r="Y7" s="106">
        <f t="shared" si="20"/>
        <v>8531.25</v>
      </c>
      <c r="Z7" s="110">
        <f t="shared" si="21"/>
        <v>3.3750000000000002E-2</v>
      </c>
      <c r="AA7" s="106">
        <f t="shared" si="22"/>
        <v>7678.125</v>
      </c>
      <c r="AB7" s="110">
        <f t="shared" si="23"/>
        <v>0.12015000000000001</v>
      </c>
      <c r="AC7" s="111">
        <f t="shared" si="24"/>
        <v>14357.925000000001</v>
      </c>
      <c r="AD7" s="112">
        <v>0</v>
      </c>
      <c r="AE7" s="113">
        <v>12511</v>
      </c>
      <c r="AF7" s="114">
        <v>0</v>
      </c>
      <c r="AG7" s="113">
        <v>11634</v>
      </c>
      <c r="AH7" s="115">
        <f t="shared" si="25"/>
        <v>8.1000000000000003E-2</v>
      </c>
      <c r="AI7" s="113">
        <f t="shared" si="2"/>
        <v>7897.5</v>
      </c>
      <c r="AJ7" s="115">
        <f t="shared" si="26"/>
        <v>2.7000000000000003E-2</v>
      </c>
      <c r="AK7" s="113">
        <f t="shared" si="27"/>
        <v>25947.000000000004</v>
      </c>
      <c r="AL7" s="117">
        <f t="shared" si="3"/>
        <v>3.7125000000000005E-2</v>
      </c>
      <c r="AM7" s="118">
        <f t="shared" si="4"/>
        <v>631.12500000000011</v>
      </c>
      <c r="AN7" s="119">
        <f t="shared" si="28"/>
        <v>0.12150000000000001</v>
      </c>
      <c r="AO7" s="118">
        <f t="shared" si="5"/>
        <v>29160.000000000004</v>
      </c>
      <c r="AP7" s="120">
        <f t="shared" si="29"/>
        <v>1.6875000000000001E-2</v>
      </c>
      <c r="AQ7" s="121">
        <f t="shared" ref="AQ7:AQ11" si="30">AP7*495000</f>
        <v>8353.125</v>
      </c>
      <c r="AR7" s="206"/>
      <c r="AS7" s="96" t="s">
        <v>105</v>
      </c>
      <c r="AT7" s="97">
        <f t="shared" ref="AT7:AT11" si="31">K7+M7+O7+Y7+AA7+AC7+AE7+AG7+AI7+AK7+AM7+AO7+AQ7</f>
        <v>171985.11250000002</v>
      </c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</row>
    <row r="8" spans="1:144" s="208" customFormat="1" x14ac:dyDescent="0.3">
      <c r="A8" s="182" t="s">
        <v>112</v>
      </c>
      <c r="B8" s="98" t="s">
        <v>134</v>
      </c>
      <c r="C8" s="99">
        <v>0.3</v>
      </c>
      <c r="D8" s="98" t="s">
        <v>106</v>
      </c>
      <c r="E8" s="100"/>
      <c r="F8" s="100"/>
      <c r="G8" s="100"/>
      <c r="H8" s="236">
        <v>0</v>
      </c>
      <c r="I8" s="101">
        <f t="shared" si="6"/>
        <v>0</v>
      </c>
      <c r="J8" s="171">
        <f t="shared" si="7"/>
        <v>0</v>
      </c>
      <c r="K8" s="103">
        <f t="shared" si="0"/>
        <v>0</v>
      </c>
      <c r="L8" s="104">
        <f t="shared" si="8"/>
        <v>0</v>
      </c>
      <c r="M8" s="103">
        <f t="shared" si="1"/>
        <v>0</v>
      </c>
      <c r="N8" s="103">
        <f t="shared" si="9"/>
        <v>0</v>
      </c>
      <c r="O8" s="105">
        <f t="shared" si="10"/>
        <v>0</v>
      </c>
      <c r="P8" s="133">
        <f t="shared" si="11"/>
        <v>0</v>
      </c>
      <c r="Q8" s="103">
        <f t="shared" si="12"/>
        <v>0</v>
      </c>
      <c r="R8" s="134">
        <f t="shared" si="13"/>
        <v>0</v>
      </c>
      <c r="S8" s="103">
        <f t="shared" si="14"/>
        <v>0</v>
      </c>
      <c r="T8" s="134">
        <f t="shared" si="15"/>
        <v>0</v>
      </c>
      <c r="U8" s="103">
        <f t="shared" si="16"/>
        <v>0</v>
      </c>
      <c r="V8" s="107">
        <f t="shared" si="17"/>
        <v>0</v>
      </c>
      <c r="W8" s="105">
        <f t="shared" si="18"/>
        <v>0</v>
      </c>
      <c r="X8" s="109">
        <f t="shared" si="19"/>
        <v>0</v>
      </c>
      <c r="Y8" s="106">
        <f t="shared" si="20"/>
        <v>0</v>
      </c>
      <c r="Z8" s="110">
        <f t="shared" si="21"/>
        <v>0</v>
      </c>
      <c r="AA8" s="106">
        <f t="shared" si="22"/>
        <v>0</v>
      </c>
      <c r="AB8" s="110">
        <f t="shared" si="23"/>
        <v>0</v>
      </c>
      <c r="AC8" s="111">
        <f t="shared" si="24"/>
        <v>0</v>
      </c>
      <c r="AD8" s="114">
        <v>0</v>
      </c>
      <c r="AE8" s="113">
        <v>8279</v>
      </c>
      <c r="AF8" s="114">
        <v>0</v>
      </c>
      <c r="AG8" s="113">
        <v>7699</v>
      </c>
      <c r="AH8" s="115">
        <f t="shared" si="25"/>
        <v>0</v>
      </c>
      <c r="AI8" s="113">
        <f t="shared" si="2"/>
        <v>0</v>
      </c>
      <c r="AJ8" s="115">
        <f t="shared" si="26"/>
        <v>0</v>
      </c>
      <c r="AK8" s="113">
        <f t="shared" si="27"/>
        <v>0</v>
      </c>
      <c r="AL8" s="117">
        <f t="shared" si="3"/>
        <v>0</v>
      </c>
      <c r="AM8" s="118">
        <f t="shared" si="4"/>
        <v>0</v>
      </c>
      <c r="AN8" s="119">
        <f t="shared" si="28"/>
        <v>0</v>
      </c>
      <c r="AO8" s="118">
        <f t="shared" si="5"/>
        <v>0</v>
      </c>
      <c r="AP8" s="120">
        <f t="shared" si="29"/>
        <v>0</v>
      </c>
      <c r="AQ8" s="121">
        <f t="shared" si="30"/>
        <v>0</v>
      </c>
      <c r="AR8" s="206"/>
      <c r="AS8" s="96" t="s">
        <v>106</v>
      </c>
      <c r="AT8" s="97">
        <f t="shared" si="31"/>
        <v>15978</v>
      </c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</row>
    <row r="9" spans="1:144" s="208" customFormat="1" x14ac:dyDescent="0.3">
      <c r="A9" s="182" t="s">
        <v>113</v>
      </c>
      <c r="B9" s="98" t="s">
        <v>134</v>
      </c>
      <c r="C9" s="99">
        <v>4.3</v>
      </c>
      <c r="D9" s="98" t="s">
        <v>141</v>
      </c>
      <c r="E9" s="100"/>
      <c r="F9" s="100"/>
      <c r="G9" s="100"/>
      <c r="H9" s="236">
        <v>200</v>
      </c>
      <c r="I9" s="101">
        <f t="shared" si="6"/>
        <v>450</v>
      </c>
      <c r="J9" s="171">
        <f t="shared" si="7"/>
        <v>72.5625</v>
      </c>
      <c r="K9" s="103">
        <f t="shared" si="0"/>
        <v>108843.75</v>
      </c>
      <c r="L9" s="104">
        <f t="shared" si="8"/>
        <v>13.5</v>
      </c>
      <c r="M9" s="103">
        <f t="shared" si="1"/>
        <v>51300</v>
      </c>
      <c r="N9" s="103">
        <f t="shared" si="9"/>
        <v>9450</v>
      </c>
      <c r="O9" s="105">
        <f t="shared" si="10"/>
        <v>141750</v>
      </c>
      <c r="P9" s="133">
        <f t="shared" si="11"/>
        <v>52</v>
      </c>
      <c r="Q9" s="103">
        <f t="shared" si="12"/>
        <v>756132</v>
      </c>
      <c r="R9" s="134">
        <f t="shared" si="13"/>
        <v>74</v>
      </c>
      <c r="S9" s="103">
        <f t="shared" si="14"/>
        <v>1076034</v>
      </c>
      <c r="T9" s="134">
        <f t="shared" si="15"/>
        <v>38</v>
      </c>
      <c r="U9" s="103">
        <f t="shared" si="16"/>
        <v>713602</v>
      </c>
      <c r="V9" s="107">
        <f t="shared" si="17"/>
        <v>11</v>
      </c>
      <c r="W9" s="105">
        <f t="shared" si="18"/>
        <v>206569</v>
      </c>
      <c r="X9" s="109">
        <f t="shared" si="19"/>
        <v>0.25</v>
      </c>
      <c r="Y9" s="106">
        <f t="shared" si="20"/>
        <v>56875</v>
      </c>
      <c r="Z9" s="110">
        <f t="shared" si="21"/>
        <v>0.22500000000000001</v>
      </c>
      <c r="AA9" s="106">
        <f t="shared" si="22"/>
        <v>51187.5</v>
      </c>
      <c r="AB9" s="110">
        <f t="shared" si="23"/>
        <v>0.80100000000000005</v>
      </c>
      <c r="AC9" s="111">
        <f t="shared" si="24"/>
        <v>95719.500000000015</v>
      </c>
      <c r="AD9" s="112">
        <v>0.02</v>
      </c>
      <c r="AE9" s="113">
        <v>82795</v>
      </c>
      <c r="AF9" s="114">
        <v>0.03</v>
      </c>
      <c r="AG9" s="113">
        <v>76991</v>
      </c>
      <c r="AH9" s="115">
        <f t="shared" si="25"/>
        <v>0.54</v>
      </c>
      <c r="AI9" s="113">
        <f t="shared" si="2"/>
        <v>52650</v>
      </c>
      <c r="AJ9" s="115">
        <f t="shared" si="26"/>
        <v>0.18000000000000002</v>
      </c>
      <c r="AK9" s="113">
        <f t="shared" si="27"/>
        <v>172980</v>
      </c>
      <c r="AL9" s="117">
        <f t="shared" si="3"/>
        <v>0.24750000000000003</v>
      </c>
      <c r="AM9" s="118">
        <f t="shared" si="4"/>
        <v>4207.5</v>
      </c>
      <c r="AN9" s="119">
        <f t="shared" si="28"/>
        <v>0.81</v>
      </c>
      <c r="AO9" s="118">
        <f t="shared" si="5"/>
        <v>194400</v>
      </c>
      <c r="AP9" s="120">
        <f t="shared" si="29"/>
        <v>0.1125</v>
      </c>
      <c r="AQ9" s="121">
        <f t="shared" si="30"/>
        <v>55687.5</v>
      </c>
      <c r="AR9" s="206"/>
      <c r="AS9" s="96" t="s">
        <v>141</v>
      </c>
      <c r="AT9" s="97">
        <f t="shared" si="31"/>
        <v>1145386.75</v>
      </c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</row>
    <row r="10" spans="1:144" s="208" customFormat="1" x14ac:dyDescent="0.3">
      <c r="A10" s="182" t="s">
        <v>114</v>
      </c>
      <c r="B10" s="98" t="s">
        <v>189</v>
      </c>
      <c r="C10" s="99">
        <v>9.6</v>
      </c>
      <c r="D10" s="98" t="s">
        <v>190</v>
      </c>
      <c r="E10" s="100"/>
      <c r="F10" s="100"/>
      <c r="G10" s="100"/>
      <c r="H10" s="236">
        <v>0</v>
      </c>
      <c r="I10" s="101">
        <f t="shared" si="6"/>
        <v>0</v>
      </c>
      <c r="J10" s="171">
        <f t="shared" si="7"/>
        <v>0</v>
      </c>
      <c r="K10" s="103">
        <f t="shared" si="0"/>
        <v>0</v>
      </c>
      <c r="L10" s="104">
        <f t="shared" si="8"/>
        <v>0</v>
      </c>
      <c r="M10" s="103">
        <f t="shared" si="1"/>
        <v>0</v>
      </c>
      <c r="N10" s="103">
        <f t="shared" si="9"/>
        <v>0</v>
      </c>
      <c r="O10" s="105">
        <f t="shared" si="10"/>
        <v>0</v>
      </c>
      <c r="P10" s="133">
        <f t="shared" si="11"/>
        <v>0</v>
      </c>
      <c r="Q10" s="103">
        <f t="shared" si="12"/>
        <v>0</v>
      </c>
      <c r="R10" s="134">
        <f t="shared" si="13"/>
        <v>0</v>
      </c>
      <c r="S10" s="103">
        <f t="shared" si="14"/>
        <v>0</v>
      </c>
      <c r="T10" s="134">
        <f t="shared" si="15"/>
        <v>0</v>
      </c>
      <c r="U10" s="103">
        <f t="shared" si="16"/>
        <v>0</v>
      </c>
      <c r="V10" s="107">
        <f t="shared" si="17"/>
        <v>0</v>
      </c>
      <c r="W10" s="105">
        <f t="shared" si="18"/>
        <v>0</v>
      </c>
      <c r="X10" s="109">
        <f t="shared" si="19"/>
        <v>0</v>
      </c>
      <c r="Y10" s="106">
        <f t="shared" si="20"/>
        <v>0</v>
      </c>
      <c r="Z10" s="110">
        <f t="shared" si="21"/>
        <v>0</v>
      </c>
      <c r="AA10" s="106">
        <f t="shared" si="22"/>
        <v>0</v>
      </c>
      <c r="AB10" s="110">
        <f t="shared" si="23"/>
        <v>0</v>
      </c>
      <c r="AC10" s="111">
        <f t="shared" si="24"/>
        <v>0</v>
      </c>
      <c r="AD10" s="112" t="s">
        <v>212</v>
      </c>
      <c r="AE10" s="113">
        <v>0</v>
      </c>
      <c r="AF10" s="114" t="s">
        <v>212</v>
      </c>
      <c r="AG10" s="113">
        <v>0</v>
      </c>
      <c r="AH10" s="115">
        <f t="shared" si="25"/>
        <v>0</v>
      </c>
      <c r="AI10" s="113">
        <f t="shared" si="2"/>
        <v>0</v>
      </c>
      <c r="AJ10" s="115">
        <f t="shared" si="26"/>
        <v>0</v>
      </c>
      <c r="AK10" s="113">
        <f t="shared" si="27"/>
        <v>0</v>
      </c>
      <c r="AL10" s="117">
        <f t="shared" si="3"/>
        <v>0</v>
      </c>
      <c r="AM10" s="118">
        <f t="shared" si="4"/>
        <v>0</v>
      </c>
      <c r="AN10" s="119">
        <f t="shared" si="28"/>
        <v>0</v>
      </c>
      <c r="AO10" s="118">
        <f t="shared" si="5"/>
        <v>0</v>
      </c>
      <c r="AP10" s="120">
        <f t="shared" si="29"/>
        <v>0</v>
      </c>
      <c r="AQ10" s="121">
        <f t="shared" si="30"/>
        <v>0</v>
      </c>
      <c r="AR10" s="206"/>
      <c r="AS10" s="96" t="s">
        <v>190</v>
      </c>
      <c r="AT10" s="97">
        <f>K10+M10+O10+Y10+AA10+AC10+AE10+AG10+AI10+AK10+AM10+AO10+AQ10</f>
        <v>0</v>
      </c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</row>
    <row r="11" spans="1:144" s="208" customFormat="1" x14ac:dyDescent="0.3">
      <c r="A11" s="182" t="s">
        <v>115</v>
      </c>
      <c r="B11" s="98" t="s">
        <v>136</v>
      </c>
      <c r="C11" s="99">
        <v>2</v>
      </c>
      <c r="D11" s="98" t="s">
        <v>191</v>
      </c>
      <c r="E11" s="100"/>
      <c r="F11" s="100"/>
      <c r="G11" s="100"/>
      <c r="H11" s="236">
        <v>0</v>
      </c>
      <c r="I11" s="101">
        <f t="shared" si="6"/>
        <v>0</v>
      </c>
      <c r="J11" s="171">
        <f t="shared" si="7"/>
        <v>0</v>
      </c>
      <c r="K11" s="103">
        <f t="shared" si="0"/>
        <v>0</v>
      </c>
      <c r="L11" s="104">
        <f t="shared" si="8"/>
        <v>0</v>
      </c>
      <c r="M11" s="103">
        <f t="shared" si="1"/>
        <v>0</v>
      </c>
      <c r="N11" s="103">
        <f t="shared" si="9"/>
        <v>0</v>
      </c>
      <c r="O11" s="105">
        <f t="shared" si="10"/>
        <v>0</v>
      </c>
      <c r="P11" s="133">
        <f t="shared" si="11"/>
        <v>0</v>
      </c>
      <c r="Q11" s="103">
        <f t="shared" si="12"/>
        <v>0</v>
      </c>
      <c r="R11" s="134">
        <f t="shared" si="13"/>
        <v>0</v>
      </c>
      <c r="S11" s="103">
        <f t="shared" si="14"/>
        <v>0</v>
      </c>
      <c r="T11" s="134">
        <f t="shared" si="15"/>
        <v>0</v>
      </c>
      <c r="U11" s="103">
        <f t="shared" si="16"/>
        <v>0</v>
      </c>
      <c r="V11" s="107">
        <f t="shared" si="17"/>
        <v>0</v>
      </c>
      <c r="W11" s="105">
        <f t="shared" si="18"/>
        <v>0</v>
      </c>
      <c r="X11" s="109">
        <f t="shared" si="19"/>
        <v>0</v>
      </c>
      <c r="Y11" s="106">
        <f t="shared" si="20"/>
        <v>0</v>
      </c>
      <c r="Z11" s="110">
        <f t="shared" si="21"/>
        <v>0</v>
      </c>
      <c r="AA11" s="106">
        <f t="shared" si="22"/>
        <v>0</v>
      </c>
      <c r="AB11" s="110">
        <f t="shared" si="23"/>
        <v>0</v>
      </c>
      <c r="AC11" s="111">
        <f t="shared" si="24"/>
        <v>0</v>
      </c>
      <c r="AD11" s="112" t="s">
        <v>212</v>
      </c>
      <c r="AE11" s="113">
        <v>0</v>
      </c>
      <c r="AF11" s="114" t="s">
        <v>212</v>
      </c>
      <c r="AG11" s="113">
        <v>0</v>
      </c>
      <c r="AH11" s="115">
        <f t="shared" si="25"/>
        <v>0</v>
      </c>
      <c r="AI11" s="113">
        <f t="shared" si="2"/>
        <v>0</v>
      </c>
      <c r="AJ11" s="115">
        <f t="shared" si="26"/>
        <v>0</v>
      </c>
      <c r="AK11" s="113">
        <f t="shared" si="27"/>
        <v>0</v>
      </c>
      <c r="AL11" s="117">
        <f t="shared" si="3"/>
        <v>0</v>
      </c>
      <c r="AM11" s="118">
        <f t="shared" si="4"/>
        <v>0</v>
      </c>
      <c r="AN11" s="119">
        <f t="shared" si="28"/>
        <v>0</v>
      </c>
      <c r="AO11" s="118">
        <f t="shared" si="5"/>
        <v>0</v>
      </c>
      <c r="AP11" s="120">
        <f t="shared" si="29"/>
        <v>0</v>
      </c>
      <c r="AQ11" s="121">
        <f t="shared" si="30"/>
        <v>0</v>
      </c>
      <c r="AR11" s="206"/>
      <c r="AS11" s="96" t="s">
        <v>191</v>
      </c>
      <c r="AT11" s="97">
        <f t="shared" si="31"/>
        <v>0</v>
      </c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</row>
    <row r="12" spans="1:144" s="207" customFormat="1" x14ac:dyDescent="0.3">
      <c r="A12" s="182" t="s">
        <v>116</v>
      </c>
      <c r="B12" s="98" t="s">
        <v>137</v>
      </c>
      <c r="C12" s="99">
        <v>4.5</v>
      </c>
      <c r="D12" s="98" t="s">
        <v>142</v>
      </c>
      <c r="E12" s="100"/>
      <c r="F12" s="100"/>
      <c r="G12" s="100"/>
      <c r="H12" s="98">
        <v>156</v>
      </c>
      <c r="I12" s="101">
        <f t="shared" si="6"/>
        <v>351</v>
      </c>
      <c r="J12" s="171">
        <f t="shared" si="7"/>
        <v>56.598749999999995</v>
      </c>
      <c r="K12" s="103">
        <f t="shared" si="0"/>
        <v>84898.125</v>
      </c>
      <c r="L12" s="104">
        <f t="shared" si="8"/>
        <v>10.53</v>
      </c>
      <c r="M12" s="103">
        <f t="shared" si="1"/>
        <v>40014</v>
      </c>
      <c r="N12" s="103">
        <f t="shared" si="9"/>
        <v>7371</v>
      </c>
      <c r="O12" s="105">
        <f t="shared" si="10"/>
        <v>110565</v>
      </c>
      <c r="P12" s="133">
        <f t="shared" si="11"/>
        <v>40.56</v>
      </c>
      <c r="Q12" s="103">
        <f t="shared" si="12"/>
        <v>589782.96000000008</v>
      </c>
      <c r="R12" s="134">
        <f t="shared" si="13"/>
        <v>57.72</v>
      </c>
      <c r="S12" s="103">
        <f t="shared" si="14"/>
        <v>839306.52</v>
      </c>
      <c r="T12" s="134">
        <f t="shared" si="15"/>
        <v>29.64</v>
      </c>
      <c r="U12" s="103">
        <f t="shared" si="16"/>
        <v>556609.56000000006</v>
      </c>
      <c r="V12" s="107">
        <f t="shared" si="17"/>
        <v>8.58</v>
      </c>
      <c r="W12" s="105">
        <f t="shared" si="18"/>
        <v>161123.82</v>
      </c>
      <c r="X12" s="109">
        <f t="shared" si="19"/>
        <v>0.19500000000000001</v>
      </c>
      <c r="Y12" s="106">
        <f t="shared" si="20"/>
        <v>44362.5</v>
      </c>
      <c r="Z12" s="110">
        <f t="shared" si="21"/>
        <v>0.17549999999999999</v>
      </c>
      <c r="AA12" s="106">
        <f t="shared" si="22"/>
        <v>39926.249999999993</v>
      </c>
      <c r="AB12" s="110">
        <f t="shared" si="23"/>
        <v>0.62478</v>
      </c>
      <c r="AC12" s="111">
        <f t="shared" si="24"/>
        <v>74661.210000000006</v>
      </c>
      <c r="AD12" s="112">
        <v>0.01</v>
      </c>
      <c r="AE12" s="113">
        <v>33118</v>
      </c>
      <c r="AF12" s="114">
        <v>0.01</v>
      </c>
      <c r="AG12" s="113">
        <v>30797</v>
      </c>
      <c r="AH12" s="115">
        <f t="shared" si="25"/>
        <v>0.42119999999999996</v>
      </c>
      <c r="AI12" s="113">
        <f t="shared" si="2"/>
        <v>41067</v>
      </c>
      <c r="AJ12" s="114">
        <f t="shared" si="26"/>
        <v>0.1404</v>
      </c>
      <c r="AK12" s="116">
        <f t="shared" si="27"/>
        <v>134924.4</v>
      </c>
      <c r="AL12" s="117">
        <f t="shared" si="3"/>
        <v>0.19305</v>
      </c>
      <c r="AM12" s="118">
        <f t="shared" si="4"/>
        <v>3281.85</v>
      </c>
      <c r="AN12" s="119">
        <f t="shared" si="28"/>
        <v>0.63180000000000003</v>
      </c>
      <c r="AO12" s="118">
        <f t="shared" si="5"/>
        <v>151632</v>
      </c>
      <c r="AP12" s="120">
        <f t="shared" si="29"/>
        <v>8.7749999999999995E-2</v>
      </c>
      <c r="AQ12" s="121">
        <f t="shared" ref="AQ12:AQ25" si="32">AP12*495000</f>
        <v>43436.25</v>
      </c>
      <c r="AR12" s="206"/>
      <c r="AS12" s="98" t="s">
        <v>142</v>
      </c>
      <c r="AT12" s="122">
        <f>K12+M12+O12+Y12+AA12+AC12+AE12+AG12+AI12+AK12+AM12+AO12+AQ12</f>
        <v>832683.58499999996</v>
      </c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</row>
    <row r="13" spans="1:144" s="222" customFormat="1" x14ac:dyDescent="0.3">
      <c r="A13" s="182" t="s">
        <v>117</v>
      </c>
      <c r="B13" s="98" t="s">
        <v>137</v>
      </c>
      <c r="C13" s="99">
        <v>4.8</v>
      </c>
      <c r="D13" s="98" t="s">
        <v>192</v>
      </c>
      <c r="E13" s="100"/>
      <c r="F13" s="100"/>
      <c r="G13" s="100"/>
      <c r="H13" s="98">
        <v>50</v>
      </c>
      <c r="I13" s="101">
        <f t="shared" si="6"/>
        <v>112.5</v>
      </c>
      <c r="J13" s="171">
        <f t="shared" si="7"/>
        <v>18.140625</v>
      </c>
      <c r="K13" s="103">
        <f t="shared" si="0"/>
        <v>27210.9375</v>
      </c>
      <c r="L13" s="104">
        <f t="shared" si="8"/>
        <v>3.375</v>
      </c>
      <c r="M13" s="103">
        <f t="shared" si="1"/>
        <v>12825</v>
      </c>
      <c r="N13" s="103">
        <f t="shared" si="9"/>
        <v>2362.5</v>
      </c>
      <c r="O13" s="105">
        <f t="shared" si="10"/>
        <v>35437.5</v>
      </c>
      <c r="P13" s="133">
        <f t="shared" si="11"/>
        <v>13</v>
      </c>
      <c r="Q13" s="103">
        <f t="shared" si="12"/>
        <v>189033</v>
      </c>
      <c r="R13" s="134">
        <f t="shared" si="13"/>
        <v>18.5</v>
      </c>
      <c r="S13" s="103">
        <f t="shared" si="14"/>
        <v>269008.5</v>
      </c>
      <c r="T13" s="134">
        <f t="shared" si="15"/>
        <v>9.5</v>
      </c>
      <c r="U13" s="103">
        <f t="shared" si="16"/>
        <v>178400.5</v>
      </c>
      <c r="V13" s="107">
        <f t="shared" si="17"/>
        <v>2.75</v>
      </c>
      <c r="W13" s="105">
        <f t="shared" si="18"/>
        <v>51642.25</v>
      </c>
      <c r="X13" s="109">
        <f t="shared" si="19"/>
        <v>6.25E-2</v>
      </c>
      <c r="Y13" s="106">
        <f t="shared" si="20"/>
        <v>14218.75</v>
      </c>
      <c r="Z13" s="110">
        <f t="shared" si="21"/>
        <v>5.6250000000000001E-2</v>
      </c>
      <c r="AA13" s="106">
        <f t="shared" si="22"/>
        <v>12796.875</v>
      </c>
      <c r="AB13" s="110">
        <f t="shared" si="23"/>
        <v>0.20025000000000001</v>
      </c>
      <c r="AC13" s="111">
        <f t="shared" si="24"/>
        <v>23929.875000000004</v>
      </c>
      <c r="AD13" s="112">
        <v>0.01</v>
      </c>
      <c r="AE13" s="113">
        <v>27598</v>
      </c>
      <c r="AF13" s="114">
        <v>0.01</v>
      </c>
      <c r="AG13" s="113">
        <v>25664</v>
      </c>
      <c r="AH13" s="115">
        <f t="shared" si="25"/>
        <v>0.13500000000000001</v>
      </c>
      <c r="AI13" s="113">
        <f t="shared" si="2"/>
        <v>13162.5</v>
      </c>
      <c r="AJ13" s="114">
        <f t="shared" si="26"/>
        <v>4.5000000000000005E-2</v>
      </c>
      <c r="AK13" s="116">
        <f t="shared" si="27"/>
        <v>43245</v>
      </c>
      <c r="AL13" s="117">
        <f t="shared" si="3"/>
        <v>6.1875000000000006E-2</v>
      </c>
      <c r="AM13" s="118">
        <f t="shared" si="4"/>
        <v>1051.875</v>
      </c>
      <c r="AN13" s="119">
        <f t="shared" si="28"/>
        <v>0.20250000000000001</v>
      </c>
      <c r="AO13" s="118">
        <f t="shared" si="5"/>
        <v>48600</v>
      </c>
      <c r="AP13" s="120">
        <f t="shared" si="29"/>
        <v>2.8125000000000001E-2</v>
      </c>
      <c r="AQ13" s="121">
        <f t="shared" si="32"/>
        <v>13921.875</v>
      </c>
      <c r="AR13" s="206"/>
      <c r="AS13" s="98" t="s">
        <v>192</v>
      </c>
      <c r="AT13" s="122">
        <f t="shared" ref="AT13:AT25" si="33">K13+M13+O13+Y13+AA13+AC13+AE13+AG13+AI13+AK13+AM13+AO13+AQ13</f>
        <v>299662.1875</v>
      </c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</row>
    <row r="14" spans="1:144" s="207" customFormat="1" x14ac:dyDescent="0.3">
      <c r="A14" s="182" t="s">
        <v>118</v>
      </c>
      <c r="B14" s="98" t="s">
        <v>137</v>
      </c>
      <c r="C14" s="99">
        <v>0.46</v>
      </c>
      <c r="D14" s="98" t="s">
        <v>211</v>
      </c>
      <c r="E14" s="100"/>
      <c r="F14" s="100"/>
      <c r="G14" s="100"/>
      <c r="H14" s="98">
        <v>25</v>
      </c>
      <c r="I14" s="101">
        <f t="shared" si="6"/>
        <v>56.25</v>
      </c>
      <c r="J14" s="171">
        <f t="shared" si="7"/>
        <v>9.0703125</v>
      </c>
      <c r="K14" s="103">
        <f t="shared" si="0"/>
        <v>13605.46875</v>
      </c>
      <c r="L14" s="104">
        <f t="shared" si="8"/>
        <v>1.6875</v>
      </c>
      <c r="M14" s="103">
        <f t="shared" si="1"/>
        <v>6412.5</v>
      </c>
      <c r="N14" s="103">
        <f t="shared" si="9"/>
        <v>1181.25</v>
      </c>
      <c r="O14" s="105">
        <f t="shared" si="10"/>
        <v>17718.75</v>
      </c>
      <c r="P14" s="133">
        <f t="shared" si="11"/>
        <v>6.5</v>
      </c>
      <c r="Q14" s="103">
        <f t="shared" si="12"/>
        <v>94516.5</v>
      </c>
      <c r="R14" s="134">
        <f t="shared" si="13"/>
        <v>9.25</v>
      </c>
      <c r="S14" s="103">
        <f t="shared" si="14"/>
        <v>134504.25</v>
      </c>
      <c r="T14" s="134">
        <f t="shared" si="15"/>
        <v>4.75</v>
      </c>
      <c r="U14" s="103">
        <f t="shared" si="16"/>
        <v>89200.25</v>
      </c>
      <c r="V14" s="107">
        <f t="shared" si="17"/>
        <v>1.375</v>
      </c>
      <c r="W14" s="105">
        <f t="shared" si="18"/>
        <v>25821.125</v>
      </c>
      <c r="X14" s="109">
        <f t="shared" si="19"/>
        <v>3.125E-2</v>
      </c>
      <c r="Y14" s="106">
        <f t="shared" si="20"/>
        <v>7109.375</v>
      </c>
      <c r="Z14" s="110">
        <f t="shared" si="21"/>
        <v>2.8125000000000001E-2</v>
      </c>
      <c r="AA14" s="106">
        <f t="shared" si="22"/>
        <v>6398.4375</v>
      </c>
      <c r="AB14" s="110">
        <f t="shared" si="23"/>
        <v>0.10012500000000001</v>
      </c>
      <c r="AC14" s="111">
        <f t="shared" si="24"/>
        <v>11964.937500000002</v>
      </c>
      <c r="AD14" s="112">
        <v>0.01</v>
      </c>
      <c r="AE14" s="113">
        <v>20791</v>
      </c>
      <c r="AF14" s="114">
        <v>0.01</v>
      </c>
      <c r="AG14" s="113">
        <v>19333</v>
      </c>
      <c r="AH14" s="115">
        <f t="shared" si="25"/>
        <v>6.7500000000000004E-2</v>
      </c>
      <c r="AI14" s="113">
        <f t="shared" si="2"/>
        <v>6581.25</v>
      </c>
      <c r="AJ14" s="114">
        <f t="shared" si="26"/>
        <v>2.2500000000000003E-2</v>
      </c>
      <c r="AK14" s="116">
        <f t="shared" si="27"/>
        <v>21622.5</v>
      </c>
      <c r="AL14" s="117">
        <f t="shared" si="3"/>
        <v>3.0937500000000003E-2</v>
      </c>
      <c r="AM14" s="118">
        <f t="shared" si="4"/>
        <v>525.9375</v>
      </c>
      <c r="AN14" s="119">
        <f t="shared" si="28"/>
        <v>0.10125000000000001</v>
      </c>
      <c r="AO14" s="118">
        <f t="shared" si="5"/>
        <v>24300</v>
      </c>
      <c r="AP14" s="120">
        <f t="shared" si="29"/>
        <v>1.40625E-2</v>
      </c>
      <c r="AQ14" s="121">
        <f t="shared" si="32"/>
        <v>6960.9375</v>
      </c>
      <c r="AR14" s="206"/>
      <c r="AS14" s="98" t="s">
        <v>211</v>
      </c>
      <c r="AT14" s="122">
        <f t="shared" si="33"/>
        <v>163324.09375</v>
      </c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</row>
    <row r="15" spans="1:144" s="207" customFormat="1" ht="12.75" customHeight="1" x14ac:dyDescent="0.3">
      <c r="A15" s="182" t="s">
        <v>119</v>
      </c>
      <c r="B15" s="98" t="s">
        <v>137</v>
      </c>
      <c r="C15" s="99">
        <v>0.32</v>
      </c>
      <c r="D15" s="98" t="s">
        <v>194</v>
      </c>
      <c r="E15" s="100"/>
      <c r="F15" s="100"/>
      <c r="G15" s="100"/>
      <c r="H15" s="98">
        <v>30</v>
      </c>
      <c r="I15" s="101">
        <f t="shared" si="6"/>
        <v>67.5</v>
      </c>
      <c r="J15" s="171">
        <f t="shared" si="7"/>
        <v>10.884375</v>
      </c>
      <c r="K15" s="103">
        <f t="shared" si="0"/>
        <v>16326.5625</v>
      </c>
      <c r="L15" s="104">
        <f t="shared" si="8"/>
        <v>2.0250000000000004</v>
      </c>
      <c r="M15" s="103">
        <f t="shared" si="1"/>
        <v>7695.0000000000009</v>
      </c>
      <c r="N15" s="103">
        <f t="shared" si="9"/>
        <v>1417.5</v>
      </c>
      <c r="O15" s="105">
        <f t="shared" si="10"/>
        <v>21262.5</v>
      </c>
      <c r="P15" s="133">
        <f t="shared" si="11"/>
        <v>7.8000000000000007</v>
      </c>
      <c r="Q15" s="103">
        <f t="shared" si="12"/>
        <v>113419.80000000002</v>
      </c>
      <c r="R15" s="134">
        <f t="shared" si="13"/>
        <v>11.1</v>
      </c>
      <c r="S15" s="103">
        <f t="shared" si="14"/>
        <v>161405.1</v>
      </c>
      <c r="T15" s="134">
        <f t="shared" si="15"/>
        <v>5.7</v>
      </c>
      <c r="U15" s="103">
        <f t="shared" si="16"/>
        <v>107040.3</v>
      </c>
      <c r="V15" s="107">
        <f t="shared" si="17"/>
        <v>1.65</v>
      </c>
      <c r="W15" s="105">
        <f t="shared" si="18"/>
        <v>30985.35</v>
      </c>
      <c r="X15" s="109">
        <f t="shared" si="19"/>
        <v>3.7499999999999999E-2</v>
      </c>
      <c r="Y15" s="106">
        <f t="shared" si="20"/>
        <v>8531.25</v>
      </c>
      <c r="Z15" s="110">
        <f t="shared" si="21"/>
        <v>3.3750000000000002E-2</v>
      </c>
      <c r="AA15" s="106">
        <f t="shared" si="22"/>
        <v>7678.125</v>
      </c>
      <c r="AB15" s="110">
        <f t="shared" si="23"/>
        <v>0.12015000000000001</v>
      </c>
      <c r="AC15" s="111">
        <f t="shared" si="24"/>
        <v>14357.925000000001</v>
      </c>
      <c r="AD15" s="112">
        <v>0</v>
      </c>
      <c r="AE15" s="113">
        <v>12511</v>
      </c>
      <c r="AF15" s="114">
        <v>0</v>
      </c>
      <c r="AG15" s="113">
        <v>11634</v>
      </c>
      <c r="AH15" s="115">
        <f t="shared" si="25"/>
        <v>8.1000000000000003E-2</v>
      </c>
      <c r="AI15" s="113">
        <f t="shared" si="2"/>
        <v>7897.5</v>
      </c>
      <c r="AJ15" s="114">
        <f t="shared" si="26"/>
        <v>2.7000000000000003E-2</v>
      </c>
      <c r="AK15" s="116">
        <f t="shared" si="27"/>
        <v>25947.000000000004</v>
      </c>
      <c r="AL15" s="117">
        <f t="shared" si="3"/>
        <v>3.7125000000000005E-2</v>
      </c>
      <c r="AM15" s="118">
        <f t="shared" si="4"/>
        <v>631.12500000000011</v>
      </c>
      <c r="AN15" s="119">
        <f t="shared" si="28"/>
        <v>0.12150000000000001</v>
      </c>
      <c r="AO15" s="118">
        <f t="shared" si="5"/>
        <v>29160.000000000004</v>
      </c>
      <c r="AP15" s="120">
        <f t="shared" si="29"/>
        <v>1.6875000000000001E-2</v>
      </c>
      <c r="AQ15" s="121">
        <f t="shared" si="32"/>
        <v>8353.125</v>
      </c>
      <c r="AR15" s="206"/>
      <c r="AS15" s="98" t="s">
        <v>194</v>
      </c>
      <c r="AT15" s="122">
        <f t="shared" si="33"/>
        <v>171985.11250000002</v>
      </c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</row>
    <row r="16" spans="1:144" s="207" customFormat="1" x14ac:dyDescent="0.3">
      <c r="A16" s="182" t="s">
        <v>193</v>
      </c>
      <c r="B16" s="98" t="s">
        <v>138</v>
      </c>
      <c r="C16" s="99">
        <v>6.44</v>
      </c>
      <c r="D16" s="98" t="s">
        <v>108</v>
      </c>
      <c r="E16" s="100"/>
      <c r="F16" s="100"/>
      <c r="G16" s="100"/>
      <c r="H16" s="98">
        <v>300</v>
      </c>
      <c r="I16" s="101">
        <f t="shared" si="6"/>
        <v>675</v>
      </c>
      <c r="J16" s="171">
        <f t="shared" si="7"/>
        <v>108.84375000000001</v>
      </c>
      <c r="K16" s="103">
        <f t="shared" si="0"/>
        <v>163265.62500000003</v>
      </c>
      <c r="L16" s="104">
        <f t="shared" si="8"/>
        <v>20.25</v>
      </c>
      <c r="M16" s="103">
        <f t="shared" si="1"/>
        <v>76950</v>
      </c>
      <c r="N16" s="103">
        <f t="shared" si="9"/>
        <v>14175.000000000002</v>
      </c>
      <c r="O16" s="105">
        <f t="shared" si="10"/>
        <v>212625.00000000003</v>
      </c>
      <c r="P16" s="133">
        <f t="shared" si="11"/>
        <v>78</v>
      </c>
      <c r="Q16" s="103">
        <f t="shared" si="12"/>
        <v>1134198</v>
      </c>
      <c r="R16" s="134">
        <f t="shared" si="13"/>
        <v>111</v>
      </c>
      <c r="S16" s="103">
        <f t="shared" si="14"/>
        <v>1614051</v>
      </c>
      <c r="T16" s="134">
        <f t="shared" si="15"/>
        <v>57</v>
      </c>
      <c r="U16" s="103">
        <f t="shared" si="16"/>
        <v>1070403</v>
      </c>
      <c r="V16" s="107">
        <f t="shared" si="17"/>
        <v>16.5</v>
      </c>
      <c r="W16" s="105">
        <f t="shared" si="18"/>
        <v>309853.5</v>
      </c>
      <c r="X16" s="109">
        <f t="shared" si="19"/>
        <v>0.375</v>
      </c>
      <c r="Y16" s="106">
        <f t="shared" si="20"/>
        <v>85312.5</v>
      </c>
      <c r="Z16" s="110">
        <f t="shared" si="21"/>
        <v>0.33750000000000002</v>
      </c>
      <c r="AA16" s="106">
        <f t="shared" si="22"/>
        <v>76781.25</v>
      </c>
      <c r="AB16" s="110">
        <f t="shared" si="23"/>
        <v>1.2015</v>
      </c>
      <c r="AC16" s="111">
        <f t="shared" si="24"/>
        <v>143579.25</v>
      </c>
      <c r="AD16" s="112">
        <v>0.03</v>
      </c>
      <c r="AE16" s="113">
        <v>103585</v>
      </c>
      <c r="AF16" s="114">
        <v>0.04</v>
      </c>
      <c r="AG16" s="113">
        <v>96325</v>
      </c>
      <c r="AH16" s="115">
        <f t="shared" si="25"/>
        <v>0.81</v>
      </c>
      <c r="AI16" s="113">
        <f t="shared" si="2"/>
        <v>78975.000000000015</v>
      </c>
      <c r="AJ16" s="114">
        <f t="shared" si="26"/>
        <v>0.27</v>
      </c>
      <c r="AK16" s="116">
        <f t="shared" si="27"/>
        <v>259469.99999999997</v>
      </c>
      <c r="AL16" s="117">
        <f t="shared" si="3"/>
        <v>0.37125000000000008</v>
      </c>
      <c r="AM16" s="118">
        <f t="shared" si="4"/>
        <v>6311.2500000000009</v>
      </c>
      <c r="AN16" s="119">
        <f t="shared" si="28"/>
        <v>1.2150000000000001</v>
      </c>
      <c r="AO16" s="118">
        <f t="shared" si="5"/>
        <v>291600</v>
      </c>
      <c r="AP16" s="120">
        <f t="shared" si="29"/>
        <v>0.16875000000000001</v>
      </c>
      <c r="AQ16" s="121">
        <f t="shared" si="32"/>
        <v>83531.25</v>
      </c>
      <c r="AR16" s="206"/>
      <c r="AS16" s="98" t="s">
        <v>108</v>
      </c>
      <c r="AT16" s="122">
        <f t="shared" si="33"/>
        <v>1678311.125</v>
      </c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</row>
    <row r="17" spans="1:144" s="207" customFormat="1" x14ac:dyDescent="0.3">
      <c r="A17" s="182" t="s">
        <v>120</v>
      </c>
      <c r="B17" s="98" t="s">
        <v>139</v>
      </c>
      <c r="C17" s="99">
        <v>1.2</v>
      </c>
      <c r="D17" s="98" t="s">
        <v>195</v>
      </c>
      <c r="E17" s="100"/>
      <c r="F17" s="100"/>
      <c r="G17" s="100"/>
      <c r="H17" s="98">
        <v>30</v>
      </c>
      <c r="I17" s="101">
        <f t="shared" si="6"/>
        <v>67.5</v>
      </c>
      <c r="J17" s="171">
        <f t="shared" si="7"/>
        <v>10.884375</v>
      </c>
      <c r="K17" s="103">
        <f t="shared" si="0"/>
        <v>16326.5625</v>
      </c>
      <c r="L17" s="104">
        <f t="shared" si="8"/>
        <v>2.0250000000000004</v>
      </c>
      <c r="M17" s="103">
        <f t="shared" si="1"/>
        <v>7695.0000000000009</v>
      </c>
      <c r="N17" s="103">
        <f t="shared" si="9"/>
        <v>1417.5</v>
      </c>
      <c r="O17" s="105">
        <f t="shared" si="10"/>
        <v>21262.5</v>
      </c>
      <c r="P17" s="133">
        <f t="shared" si="11"/>
        <v>7.8000000000000007</v>
      </c>
      <c r="Q17" s="103">
        <f t="shared" si="12"/>
        <v>113419.80000000002</v>
      </c>
      <c r="R17" s="134">
        <f t="shared" si="13"/>
        <v>11.1</v>
      </c>
      <c r="S17" s="103">
        <f t="shared" si="14"/>
        <v>161405.1</v>
      </c>
      <c r="T17" s="134">
        <f t="shared" si="15"/>
        <v>5.7</v>
      </c>
      <c r="U17" s="103">
        <f t="shared" si="16"/>
        <v>107040.3</v>
      </c>
      <c r="V17" s="107">
        <f t="shared" si="17"/>
        <v>1.65</v>
      </c>
      <c r="W17" s="105">
        <f t="shared" si="18"/>
        <v>30985.35</v>
      </c>
      <c r="X17" s="109">
        <f t="shared" si="19"/>
        <v>3.7499999999999999E-2</v>
      </c>
      <c r="Y17" s="106">
        <f t="shared" si="20"/>
        <v>8531.25</v>
      </c>
      <c r="Z17" s="110">
        <f t="shared" si="21"/>
        <v>3.3750000000000002E-2</v>
      </c>
      <c r="AA17" s="106">
        <f t="shared" si="22"/>
        <v>7678.125</v>
      </c>
      <c r="AB17" s="110">
        <f t="shared" si="23"/>
        <v>0.12015000000000001</v>
      </c>
      <c r="AC17" s="111">
        <f t="shared" si="24"/>
        <v>14357.925000000001</v>
      </c>
      <c r="AD17" s="112">
        <v>0</v>
      </c>
      <c r="AE17" s="113">
        <v>12511</v>
      </c>
      <c r="AF17" s="114">
        <v>0</v>
      </c>
      <c r="AG17" s="113">
        <v>11634</v>
      </c>
      <c r="AH17" s="115">
        <f t="shared" si="25"/>
        <v>8.1000000000000003E-2</v>
      </c>
      <c r="AI17" s="113">
        <f t="shared" si="2"/>
        <v>7897.5</v>
      </c>
      <c r="AJ17" s="114">
        <f t="shared" si="26"/>
        <v>2.7000000000000003E-2</v>
      </c>
      <c r="AK17" s="116">
        <f t="shared" si="27"/>
        <v>25947.000000000004</v>
      </c>
      <c r="AL17" s="117">
        <f t="shared" si="3"/>
        <v>3.7125000000000005E-2</v>
      </c>
      <c r="AM17" s="118">
        <f t="shared" si="4"/>
        <v>631.12500000000011</v>
      </c>
      <c r="AN17" s="119">
        <f t="shared" si="28"/>
        <v>0.12150000000000001</v>
      </c>
      <c r="AO17" s="118">
        <f t="shared" si="5"/>
        <v>29160.000000000004</v>
      </c>
      <c r="AP17" s="120">
        <f t="shared" si="29"/>
        <v>1.6875000000000001E-2</v>
      </c>
      <c r="AQ17" s="121">
        <f t="shared" si="32"/>
        <v>8353.125</v>
      </c>
      <c r="AR17" s="206"/>
      <c r="AS17" s="98" t="s">
        <v>195</v>
      </c>
      <c r="AT17" s="122">
        <f t="shared" si="33"/>
        <v>171985.11250000002</v>
      </c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</row>
    <row r="18" spans="1:144" s="207" customFormat="1" x14ac:dyDescent="0.3">
      <c r="A18" s="182" t="s">
        <v>121</v>
      </c>
      <c r="B18" s="98" t="s">
        <v>199</v>
      </c>
      <c r="C18" s="99">
        <v>0.18</v>
      </c>
      <c r="D18" s="98" t="s">
        <v>201</v>
      </c>
      <c r="E18" s="100"/>
      <c r="F18" s="100"/>
      <c r="G18" s="100"/>
      <c r="H18" s="98">
        <v>20</v>
      </c>
      <c r="I18" s="101">
        <f t="shared" si="6"/>
        <v>45</v>
      </c>
      <c r="J18" s="171">
        <f t="shared" si="7"/>
        <v>7.2562499999999996</v>
      </c>
      <c r="K18" s="103">
        <f t="shared" si="0"/>
        <v>10884.375</v>
      </c>
      <c r="L18" s="104">
        <f t="shared" si="8"/>
        <v>1.3499999999999999</v>
      </c>
      <c r="M18" s="103">
        <f t="shared" si="1"/>
        <v>5129.9999999999991</v>
      </c>
      <c r="N18" s="103">
        <f t="shared" si="9"/>
        <v>945</v>
      </c>
      <c r="O18" s="105">
        <f t="shared" si="10"/>
        <v>14175</v>
      </c>
      <c r="P18" s="133">
        <f t="shared" si="11"/>
        <v>5.2</v>
      </c>
      <c r="Q18" s="103">
        <f t="shared" si="12"/>
        <v>75613.2</v>
      </c>
      <c r="R18" s="134">
        <f t="shared" si="13"/>
        <v>7.4</v>
      </c>
      <c r="S18" s="103">
        <f t="shared" si="14"/>
        <v>107603.40000000001</v>
      </c>
      <c r="T18" s="134">
        <f t="shared" si="15"/>
        <v>3.8</v>
      </c>
      <c r="U18" s="103">
        <f t="shared" si="16"/>
        <v>71360.2</v>
      </c>
      <c r="V18" s="107">
        <f t="shared" si="17"/>
        <v>1.1000000000000001</v>
      </c>
      <c r="W18" s="105">
        <f t="shared" si="18"/>
        <v>20656.900000000001</v>
      </c>
      <c r="X18" s="109">
        <f t="shared" si="19"/>
        <v>2.5000000000000001E-2</v>
      </c>
      <c r="Y18" s="106">
        <f t="shared" si="20"/>
        <v>5687.5</v>
      </c>
      <c r="Z18" s="110">
        <f t="shared" si="21"/>
        <v>2.2499999999999999E-2</v>
      </c>
      <c r="AA18" s="106">
        <f t="shared" si="22"/>
        <v>5118.75</v>
      </c>
      <c r="AB18" s="110">
        <f t="shared" si="23"/>
        <v>8.0100000000000005E-2</v>
      </c>
      <c r="AC18" s="111">
        <f t="shared" si="24"/>
        <v>9571.9499999999989</v>
      </c>
      <c r="AD18" s="112">
        <v>0</v>
      </c>
      <c r="AE18" s="113">
        <v>8279</v>
      </c>
      <c r="AF18" s="114">
        <v>0</v>
      </c>
      <c r="AG18" s="113">
        <v>7699</v>
      </c>
      <c r="AH18" s="115">
        <f t="shared" si="25"/>
        <v>5.3999999999999999E-2</v>
      </c>
      <c r="AI18" s="113">
        <f t="shared" si="2"/>
        <v>5265</v>
      </c>
      <c r="AJ18" s="114">
        <f t="shared" si="26"/>
        <v>1.7999999999999999E-2</v>
      </c>
      <c r="AK18" s="116">
        <f t="shared" si="27"/>
        <v>17298</v>
      </c>
      <c r="AL18" s="117">
        <f t="shared" si="3"/>
        <v>2.4750000000000001E-2</v>
      </c>
      <c r="AM18" s="118">
        <f t="shared" si="4"/>
        <v>420.75</v>
      </c>
      <c r="AN18" s="119">
        <f t="shared" si="28"/>
        <v>8.1000000000000003E-2</v>
      </c>
      <c r="AO18" s="118">
        <f t="shared" si="5"/>
        <v>19440</v>
      </c>
      <c r="AP18" s="120">
        <f t="shared" si="29"/>
        <v>1.125E-2</v>
      </c>
      <c r="AQ18" s="121">
        <f t="shared" si="32"/>
        <v>5568.75</v>
      </c>
      <c r="AR18" s="206"/>
      <c r="AS18" s="98" t="s">
        <v>201</v>
      </c>
      <c r="AT18" s="122">
        <f t="shared" si="33"/>
        <v>114538.075</v>
      </c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</row>
    <row r="19" spans="1:144" s="207" customFormat="1" x14ac:dyDescent="0.3">
      <c r="A19" s="182" t="s">
        <v>122</v>
      </c>
      <c r="B19" s="98" t="s">
        <v>189</v>
      </c>
      <c r="C19" s="99">
        <v>0.8</v>
      </c>
      <c r="D19" s="98" t="s">
        <v>202</v>
      </c>
      <c r="E19" s="100"/>
      <c r="F19" s="100"/>
      <c r="G19" s="100"/>
      <c r="H19" s="98">
        <v>30</v>
      </c>
      <c r="I19" s="101">
        <f t="shared" si="6"/>
        <v>67.5</v>
      </c>
      <c r="J19" s="171">
        <f t="shared" si="7"/>
        <v>10.884375</v>
      </c>
      <c r="K19" s="103">
        <f t="shared" si="0"/>
        <v>16326.5625</v>
      </c>
      <c r="L19" s="104">
        <f t="shared" si="8"/>
        <v>2.0250000000000004</v>
      </c>
      <c r="M19" s="103">
        <f t="shared" si="1"/>
        <v>7695.0000000000009</v>
      </c>
      <c r="N19" s="103">
        <f t="shared" si="9"/>
        <v>1417.5</v>
      </c>
      <c r="O19" s="105">
        <f t="shared" si="10"/>
        <v>21262.5</v>
      </c>
      <c r="P19" s="133">
        <f t="shared" si="11"/>
        <v>7.8000000000000007</v>
      </c>
      <c r="Q19" s="103">
        <f t="shared" si="12"/>
        <v>113419.80000000002</v>
      </c>
      <c r="R19" s="134">
        <f t="shared" si="13"/>
        <v>11.1</v>
      </c>
      <c r="S19" s="103">
        <f t="shared" si="14"/>
        <v>161405.1</v>
      </c>
      <c r="T19" s="134">
        <f t="shared" si="15"/>
        <v>5.7</v>
      </c>
      <c r="U19" s="103">
        <f t="shared" si="16"/>
        <v>107040.3</v>
      </c>
      <c r="V19" s="107">
        <f t="shared" si="17"/>
        <v>1.65</v>
      </c>
      <c r="W19" s="105">
        <f t="shared" si="18"/>
        <v>30985.35</v>
      </c>
      <c r="X19" s="109">
        <f t="shared" si="19"/>
        <v>3.7499999999999999E-2</v>
      </c>
      <c r="Y19" s="106">
        <f t="shared" si="20"/>
        <v>8531.25</v>
      </c>
      <c r="Z19" s="110">
        <f t="shared" si="21"/>
        <v>3.3750000000000002E-2</v>
      </c>
      <c r="AA19" s="106">
        <f t="shared" si="22"/>
        <v>7678.125</v>
      </c>
      <c r="AB19" s="110">
        <f t="shared" si="23"/>
        <v>0.12015000000000001</v>
      </c>
      <c r="AC19" s="111">
        <f t="shared" si="24"/>
        <v>14357.925000000001</v>
      </c>
      <c r="AD19" s="112">
        <v>0</v>
      </c>
      <c r="AE19" s="113">
        <v>12511</v>
      </c>
      <c r="AF19" s="114">
        <v>0</v>
      </c>
      <c r="AG19" s="113">
        <v>11634</v>
      </c>
      <c r="AH19" s="115">
        <f t="shared" si="25"/>
        <v>8.1000000000000003E-2</v>
      </c>
      <c r="AI19" s="113">
        <f t="shared" si="2"/>
        <v>7897.5</v>
      </c>
      <c r="AJ19" s="114">
        <f t="shared" si="26"/>
        <v>2.7000000000000003E-2</v>
      </c>
      <c r="AK19" s="116">
        <f t="shared" si="27"/>
        <v>25947.000000000004</v>
      </c>
      <c r="AL19" s="117">
        <f t="shared" si="3"/>
        <v>3.7125000000000005E-2</v>
      </c>
      <c r="AM19" s="118">
        <f t="shared" si="4"/>
        <v>631.12500000000011</v>
      </c>
      <c r="AN19" s="119">
        <f t="shared" si="28"/>
        <v>0.12150000000000001</v>
      </c>
      <c r="AO19" s="118">
        <f t="shared" si="5"/>
        <v>29160.000000000004</v>
      </c>
      <c r="AP19" s="120">
        <f t="shared" si="29"/>
        <v>1.6875000000000001E-2</v>
      </c>
      <c r="AQ19" s="121">
        <f t="shared" si="32"/>
        <v>8353.125</v>
      </c>
      <c r="AR19" s="206"/>
      <c r="AS19" s="98" t="s">
        <v>202</v>
      </c>
      <c r="AT19" s="122">
        <f t="shared" si="33"/>
        <v>171985.11250000002</v>
      </c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</row>
    <row r="20" spans="1:144" s="207" customFormat="1" x14ac:dyDescent="0.3">
      <c r="A20" s="182" t="s">
        <v>123</v>
      </c>
      <c r="B20" s="98" t="s">
        <v>135</v>
      </c>
      <c r="C20" s="99">
        <v>0.86</v>
      </c>
      <c r="D20" s="98" t="s">
        <v>203</v>
      </c>
      <c r="E20" s="100"/>
      <c r="F20" s="100"/>
      <c r="G20" s="100"/>
      <c r="H20" s="98">
        <v>30</v>
      </c>
      <c r="I20" s="101">
        <f t="shared" si="6"/>
        <v>67.5</v>
      </c>
      <c r="J20" s="171">
        <f t="shared" si="7"/>
        <v>10.884375</v>
      </c>
      <c r="K20" s="103">
        <f t="shared" si="0"/>
        <v>16326.5625</v>
      </c>
      <c r="L20" s="104">
        <f t="shared" si="8"/>
        <v>2.0250000000000004</v>
      </c>
      <c r="M20" s="103">
        <f t="shared" si="1"/>
        <v>7695.0000000000009</v>
      </c>
      <c r="N20" s="103">
        <f t="shared" si="9"/>
        <v>1417.5</v>
      </c>
      <c r="O20" s="105">
        <f t="shared" si="10"/>
        <v>21262.5</v>
      </c>
      <c r="P20" s="133">
        <f t="shared" si="11"/>
        <v>7.8000000000000007</v>
      </c>
      <c r="Q20" s="103">
        <f t="shared" si="12"/>
        <v>113419.80000000002</v>
      </c>
      <c r="R20" s="134">
        <f t="shared" si="13"/>
        <v>11.1</v>
      </c>
      <c r="S20" s="103">
        <f t="shared" si="14"/>
        <v>161405.1</v>
      </c>
      <c r="T20" s="134">
        <f t="shared" si="15"/>
        <v>5.7</v>
      </c>
      <c r="U20" s="103">
        <f t="shared" si="16"/>
        <v>107040.3</v>
      </c>
      <c r="V20" s="107">
        <f t="shared" si="17"/>
        <v>1.65</v>
      </c>
      <c r="W20" s="105">
        <f t="shared" si="18"/>
        <v>30985.35</v>
      </c>
      <c r="X20" s="109">
        <f t="shared" si="19"/>
        <v>3.7499999999999999E-2</v>
      </c>
      <c r="Y20" s="106">
        <f t="shared" si="20"/>
        <v>8531.25</v>
      </c>
      <c r="Z20" s="110">
        <f t="shared" si="21"/>
        <v>3.3750000000000002E-2</v>
      </c>
      <c r="AA20" s="106">
        <f t="shared" si="22"/>
        <v>7678.125</v>
      </c>
      <c r="AB20" s="110">
        <f t="shared" si="23"/>
        <v>0.12015000000000001</v>
      </c>
      <c r="AC20" s="111">
        <f t="shared" si="24"/>
        <v>14357.925000000001</v>
      </c>
      <c r="AD20" s="112">
        <v>0</v>
      </c>
      <c r="AE20" s="113">
        <v>11591</v>
      </c>
      <c r="AF20" s="114">
        <v>0</v>
      </c>
      <c r="AG20" s="113">
        <v>10779</v>
      </c>
      <c r="AH20" s="115">
        <f t="shared" si="25"/>
        <v>8.1000000000000003E-2</v>
      </c>
      <c r="AI20" s="113">
        <f t="shared" si="2"/>
        <v>7897.5</v>
      </c>
      <c r="AJ20" s="114">
        <f t="shared" si="26"/>
        <v>2.7000000000000003E-2</v>
      </c>
      <c r="AK20" s="116">
        <f t="shared" si="27"/>
        <v>25947.000000000004</v>
      </c>
      <c r="AL20" s="117">
        <f t="shared" si="3"/>
        <v>3.7125000000000005E-2</v>
      </c>
      <c r="AM20" s="118">
        <f t="shared" si="4"/>
        <v>631.12500000000011</v>
      </c>
      <c r="AN20" s="119">
        <f t="shared" si="28"/>
        <v>0.12150000000000001</v>
      </c>
      <c r="AO20" s="118">
        <f t="shared" si="5"/>
        <v>29160.000000000004</v>
      </c>
      <c r="AP20" s="120">
        <f t="shared" si="29"/>
        <v>1.6875000000000001E-2</v>
      </c>
      <c r="AQ20" s="121">
        <f t="shared" si="32"/>
        <v>8353.125</v>
      </c>
      <c r="AR20" s="206"/>
      <c r="AS20" s="98" t="s">
        <v>203</v>
      </c>
      <c r="AT20" s="122">
        <f t="shared" si="33"/>
        <v>170210.11250000002</v>
      </c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</row>
    <row r="21" spans="1:144" s="207" customFormat="1" x14ac:dyDescent="0.3">
      <c r="A21" s="182" t="s">
        <v>124</v>
      </c>
      <c r="B21" s="98" t="s">
        <v>200</v>
      </c>
      <c r="C21" s="99">
        <v>0.13</v>
      </c>
      <c r="D21" s="98" t="s">
        <v>204</v>
      </c>
      <c r="E21" s="100"/>
      <c r="F21" s="100"/>
      <c r="G21" s="100"/>
      <c r="H21" s="98">
        <v>15</v>
      </c>
      <c r="I21" s="101">
        <f t="shared" si="6"/>
        <v>33.75</v>
      </c>
      <c r="J21" s="171">
        <f t="shared" si="7"/>
        <v>5.4421875000000002</v>
      </c>
      <c r="K21" s="103">
        <f t="shared" si="0"/>
        <v>8163.28125</v>
      </c>
      <c r="L21" s="104">
        <f t="shared" si="8"/>
        <v>1.0125000000000002</v>
      </c>
      <c r="M21" s="103">
        <f t="shared" si="1"/>
        <v>3847.5000000000005</v>
      </c>
      <c r="N21" s="103">
        <f t="shared" si="9"/>
        <v>708.75</v>
      </c>
      <c r="O21" s="105">
        <f t="shared" si="10"/>
        <v>10631.25</v>
      </c>
      <c r="P21" s="133">
        <f t="shared" si="11"/>
        <v>3.9000000000000004</v>
      </c>
      <c r="Q21" s="103">
        <f t="shared" si="12"/>
        <v>56709.900000000009</v>
      </c>
      <c r="R21" s="134">
        <f t="shared" si="13"/>
        <v>5.55</v>
      </c>
      <c r="S21" s="103">
        <f t="shared" si="14"/>
        <v>80702.55</v>
      </c>
      <c r="T21" s="134">
        <f t="shared" si="15"/>
        <v>2.85</v>
      </c>
      <c r="U21" s="103">
        <f t="shared" si="16"/>
        <v>53520.15</v>
      </c>
      <c r="V21" s="107">
        <f t="shared" si="17"/>
        <v>0.82499999999999996</v>
      </c>
      <c r="W21" s="105">
        <f t="shared" si="18"/>
        <v>15492.674999999999</v>
      </c>
      <c r="X21" s="109">
        <f t="shared" si="19"/>
        <v>1.8749999999999999E-2</v>
      </c>
      <c r="Y21" s="106">
        <f t="shared" si="20"/>
        <v>4265.625</v>
      </c>
      <c r="Z21" s="110">
        <f t="shared" si="21"/>
        <v>1.6875000000000001E-2</v>
      </c>
      <c r="AA21" s="106">
        <f t="shared" si="22"/>
        <v>3839.0625</v>
      </c>
      <c r="AB21" s="110">
        <f t="shared" si="23"/>
        <v>6.0075000000000003E-2</v>
      </c>
      <c r="AC21" s="111">
        <f t="shared" si="24"/>
        <v>7178.9625000000005</v>
      </c>
      <c r="AD21" s="112">
        <v>0</v>
      </c>
      <c r="AE21" s="113">
        <v>6256</v>
      </c>
      <c r="AF21" s="114">
        <v>0</v>
      </c>
      <c r="AG21" s="113">
        <v>5817</v>
      </c>
      <c r="AH21" s="115">
        <f t="shared" si="25"/>
        <v>4.0500000000000001E-2</v>
      </c>
      <c r="AI21" s="113">
        <f t="shared" si="2"/>
        <v>3948.75</v>
      </c>
      <c r="AJ21" s="114">
        <f t="shared" si="26"/>
        <v>1.3500000000000002E-2</v>
      </c>
      <c r="AK21" s="116">
        <f t="shared" si="27"/>
        <v>12973.500000000002</v>
      </c>
      <c r="AL21" s="117">
        <f t="shared" si="3"/>
        <v>1.8562500000000003E-2</v>
      </c>
      <c r="AM21" s="118">
        <f t="shared" si="4"/>
        <v>315.56250000000006</v>
      </c>
      <c r="AN21" s="119">
        <f t="shared" si="28"/>
        <v>6.0750000000000005E-2</v>
      </c>
      <c r="AO21" s="118">
        <f t="shared" si="5"/>
        <v>14580.000000000002</v>
      </c>
      <c r="AP21" s="120">
        <f t="shared" si="29"/>
        <v>8.4375000000000006E-3</v>
      </c>
      <c r="AQ21" s="121">
        <f t="shared" si="32"/>
        <v>4176.5625</v>
      </c>
      <c r="AR21" s="206"/>
      <c r="AS21" s="98" t="s">
        <v>204</v>
      </c>
      <c r="AT21" s="122">
        <f t="shared" si="33"/>
        <v>85993.056250000009</v>
      </c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</row>
    <row r="22" spans="1:144" s="207" customFormat="1" x14ac:dyDescent="0.3">
      <c r="A22" s="182" t="s">
        <v>125</v>
      </c>
      <c r="B22" s="98" t="s">
        <v>199</v>
      </c>
      <c r="C22" s="99">
        <v>4.22</v>
      </c>
      <c r="D22" s="98" t="s">
        <v>205</v>
      </c>
      <c r="E22" s="100"/>
      <c r="F22" s="100"/>
      <c r="G22" s="100"/>
      <c r="H22" s="236">
        <v>0</v>
      </c>
      <c r="I22" s="101">
        <f t="shared" si="6"/>
        <v>0</v>
      </c>
      <c r="J22" s="171">
        <f t="shared" si="7"/>
        <v>0</v>
      </c>
      <c r="K22" s="103">
        <f t="shared" si="0"/>
        <v>0</v>
      </c>
      <c r="L22" s="104">
        <f t="shared" si="8"/>
        <v>0</v>
      </c>
      <c r="M22" s="103">
        <f t="shared" si="1"/>
        <v>0</v>
      </c>
      <c r="N22" s="103">
        <f t="shared" si="9"/>
        <v>0</v>
      </c>
      <c r="O22" s="105">
        <f t="shared" si="10"/>
        <v>0</v>
      </c>
      <c r="P22" s="133">
        <f t="shared" si="11"/>
        <v>0</v>
      </c>
      <c r="Q22" s="103">
        <f t="shared" si="12"/>
        <v>0</v>
      </c>
      <c r="R22" s="134">
        <f t="shared" si="13"/>
        <v>0</v>
      </c>
      <c r="S22" s="103">
        <f t="shared" si="14"/>
        <v>0</v>
      </c>
      <c r="T22" s="134">
        <f t="shared" si="15"/>
        <v>0</v>
      </c>
      <c r="U22" s="103">
        <f t="shared" si="16"/>
        <v>0</v>
      </c>
      <c r="V22" s="107">
        <f t="shared" si="17"/>
        <v>0</v>
      </c>
      <c r="W22" s="105">
        <f t="shared" si="18"/>
        <v>0</v>
      </c>
      <c r="X22" s="109">
        <f t="shared" si="19"/>
        <v>0</v>
      </c>
      <c r="Y22" s="106">
        <f t="shared" si="20"/>
        <v>0</v>
      </c>
      <c r="Z22" s="110">
        <f t="shared" si="21"/>
        <v>0</v>
      </c>
      <c r="AA22" s="106">
        <f t="shared" si="22"/>
        <v>0</v>
      </c>
      <c r="AB22" s="110">
        <f t="shared" si="23"/>
        <v>0</v>
      </c>
      <c r="AC22" s="111">
        <f t="shared" si="24"/>
        <v>0</v>
      </c>
      <c r="AD22" s="112" t="s">
        <v>212</v>
      </c>
      <c r="AE22" s="113" t="s">
        <v>212</v>
      </c>
      <c r="AF22" s="114" t="s">
        <v>212</v>
      </c>
      <c r="AG22" s="113" t="s">
        <v>212</v>
      </c>
      <c r="AH22" s="115">
        <f t="shared" si="25"/>
        <v>0</v>
      </c>
      <c r="AI22" s="113">
        <f t="shared" si="2"/>
        <v>0</v>
      </c>
      <c r="AJ22" s="114">
        <f t="shared" si="26"/>
        <v>0</v>
      </c>
      <c r="AK22" s="116">
        <f t="shared" si="27"/>
        <v>0</v>
      </c>
      <c r="AL22" s="117">
        <f t="shared" si="3"/>
        <v>0</v>
      </c>
      <c r="AM22" s="118">
        <f t="shared" si="4"/>
        <v>0</v>
      </c>
      <c r="AN22" s="119">
        <f t="shared" si="28"/>
        <v>0</v>
      </c>
      <c r="AO22" s="118">
        <f t="shared" si="5"/>
        <v>0</v>
      </c>
      <c r="AP22" s="120">
        <f t="shared" si="29"/>
        <v>0</v>
      </c>
      <c r="AQ22" s="121">
        <f t="shared" si="32"/>
        <v>0</v>
      </c>
      <c r="AR22" s="206"/>
      <c r="AS22" s="98" t="s">
        <v>205</v>
      </c>
      <c r="AT22" s="122">
        <v>0</v>
      </c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</row>
    <row r="23" spans="1:144" s="207" customFormat="1" x14ac:dyDescent="0.3">
      <c r="A23" s="182" t="s">
        <v>196</v>
      </c>
      <c r="B23" s="98" t="s">
        <v>132</v>
      </c>
      <c r="C23" s="99">
        <v>0.85</v>
      </c>
      <c r="D23" s="98" t="s">
        <v>206</v>
      </c>
      <c r="E23" s="100"/>
      <c r="F23" s="100"/>
      <c r="G23" s="100"/>
      <c r="H23" s="98">
        <v>20</v>
      </c>
      <c r="I23" s="101">
        <f t="shared" si="6"/>
        <v>45</v>
      </c>
      <c r="J23" s="171">
        <f t="shared" si="7"/>
        <v>7.2562499999999996</v>
      </c>
      <c r="K23" s="103">
        <f t="shared" si="0"/>
        <v>10884.375</v>
      </c>
      <c r="L23" s="104">
        <f t="shared" si="8"/>
        <v>1.3499999999999999</v>
      </c>
      <c r="M23" s="103">
        <f t="shared" si="1"/>
        <v>5129.9999999999991</v>
      </c>
      <c r="N23" s="103">
        <f t="shared" si="9"/>
        <v>945</v>
      </c>
      <c r="O23" s="105">
        <f t="shared" si="10"/>
        <v>14175</v>
      </c>
      <c r="P23" s="133">
        <f t="shared" si="11"/>
        <v>5.2</v>
      </c>
      <c r="Q23" s="103">
        <f t="shared" si="12"/>
        <v>75613.2</v>
      </c>
      <c r="R23" s="134">
        <f t="shared" si="13"/>
        <v>7.4</v>
      </c>
      <c r="S23" s="103">
        <f t="shared" si="14"/>
        <v>107603.40000000001</v>
      </c>
      <c r="T23" s="134">
        <f t="shared" si="15"/>
        <v>3.8</v>
      </c>
      <c r="U23" s="103">
        <f t="shared" si="16"/>
        <v>71360.2</v>
      </c>
      <c r="V23" s="107">
        <f t="shared" si="17"/>
        <v>1.1000000000000001</v>
      </c>
      <c r="W23" s="105">
        <f t="shared" si="18"/>
        <v>20656.900000000001</v>
      </c>
      <c r="X23" s="109">
        <f t="shared" si="19"/>
        <v>2.5000000000000001E-2</v>
      </c>
      <c r="Y23" s="106">
        <f t="shared" si="20"/>
        <v>5687.5</v>
      </c>
      <c r="Z23" s="110">
        <f t="shared" si="21"/>
        <v>2.2499999999999999E-2</v>
      </c>
      <c r="AA23" s="106">
        <f t="shared" si="22"/>
        <v>5118.75</v>
      </c>
      <c r="AB23" s="110">
        <f t="shared" si="23"/>
        <v>8.0100000000000005E-2</v>
      </c>
      <c r="AC23" s="111">
        <f t="shared" si="24"/>
        <v>9571.9499999999989</v>
      </c>
      <c r="AD23" s="112">
        <v>0</v>
      </c>
      <c r="AE23" s="113">
        <v>8279</v>
      </c>
      <c r="AF23" s="114">
        <v>0</v>
      </c>
      <c r="AG23" s="113">
        <v>7699</v>
      </c>
      <c r="AH23" s="115">
        <f t="shared" si="25"/>
        <v>5.3999999999999999E-2</v>
      </c>
      <c r="AI23" s="113">
        <f t="shared" si="2"/>
        <v>5265</v>
      </c>
      <c r="AJ23" s="114">
        <f t="shared" si="26"/>
        <v>1.7999999999999999E-2</v>
      </c>
      <c r="AK23" s="116">
        <f t="shared" si="27"/>
        <v>17298</v>
      </c>
      <c r="AL23" s="117">
        <f t="shared" si="3"/>
        <v>2.4750000000000001E-2</v>
      </c>
      <c r="AM23" s="118">
        <f t="shared" si="4"/>
        <v>420.75</v>
      </c>
      <c r="AN23" s="119">
        <f t="shared" si="28"/>
        <v>8.1000000000000003E-2</v>
      </c>
      <c r="AO23" s="118">
        <f t="shared" si="5"/>
        <v>19440</v>
      </c>
      <c r="AP23" s="120">
        <f t="shared" si="29"/>
        <v>1.125E-2</v>
      </c>
      <c r="AQ23" s="121">
        <f t="shared" si="32"/>
        <v>5568.75</v>
      </c>
      <c r="AR23" s="206"/>
      <c r="AS23" s="98" t="s">
        <v>206</v>
      </c>
      <c r="AT23" s="122">
        <f t="shared" si="33"/>
        <v>114538.075</v>
      </c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</row>
    <row r="24" spans="1:144" s="207" customFormat="1" x14ac:dyDescent="0.3">
      <c r="A24" s="182" t="s">
        <v>126</v>
      </c>
      <c r="B24" s="98" t="s">
        <v>133</v>
      </c>
      <c r="C24" s="99">
        <v>0.36</v>
      </c>
      <c r="D24" s="98" t="s">
        <v>207</v>
      </c>
      <c r="E24" s="100"/>
      <c r="F24" s="100"/>
      <c r="G24" s="100"/>
      <c r="H24" s="98">
        <v>10</v>
      </c>
      <c r="I24" s="101">
        <f t="shared" si="6"/>
        <v>22.5</v>
      </c>
      <c r="J24" s="171">
        <f t="shared" si="7"/>
        <v>3.6281249999999998</v>
      </c>
      <c r="K24" s="103">
        <f t="shared" si="0"/>
        <v>5442.1875</v>
      </c>
      <c r="L24" s="104">
        <f t="shared" si="8"/>
        <v>0.67499999999999993</v>
      </c>
      <c r="M24" s="103">
        <f t="shared" si="1"/>
        <v>2564.9999999999995</v>
      </c>
      <c r="N24" s="103">
        <f t="shared" si="9"/>
        <v>472.5</v>
      </c>
      <c r="O24" s="105">
        <f t="shared" si="10"/>
        <v>7087.5</v>
      </c>
      <c r="P24" s="133">
        <f t="shared" si="11"/>
        <v>2.6</v>
      </c>
      <c r="Q24" s="103">
        <f t="shared" si="12"/>
        <v>37806.6</v>
      </c>
      <c r="R24" s="134">
        <f t="shared" si="13"/>
        <v>3.7</v>
      </c>
      <c r="S24" s="103">
        <f t="shared" si="14"/>
        <v>53801.700000000004</v>
      </c>
      <c r="T24" s="134">
        <f t="shared" si="15"/>
        <v>1.9</v>
      </c>
      <c r="U24" s="103">
        <f t="shared" si="16"/>
        <v>35680.1</v>
      </c>
      <c r="V24" s="107">
        <f t="shared" si="17"/>
        <v>0.55000000000000004</v>
      </c>
      <c r="W24" s="105">
        <f t="shared" si="18"/>
        <v>10328.450000000001</v>
      </c>
      <c r="X24" s="109">
        <f t="shared" si="19"/>
        <v>1.2500000000000001E-2</v>
      </c>
      <c r="Y24" s="106">
        <f t="shared" si="20"/>
        <v>2843.75</v>
      </c>
      <c r="Z24" s="110">
        <f t="shared" si="21"/>
        <v>1.125E-2</v>
      </c>
      <c r="AA24" s="106">
        <f t="shared" si="22"/>
        <v>2559.375</v>
      </c>
      <c r="AB24" s="110">
        <f t="shared" si="23"/>
        <v>4.0050000000000002E-2</v>
      </c>
      <c r="AC24" s="111">
        <f t="shared" si="24"/>
        <v>4785.9749999999995</v>
      </c>
      <c r="AD24" s="112">
        <v>0</v>
      </c>
      <c r="AE24" s="113">
        <v>4232</v>
      </c>
      <c r="AF24" s="114">
        <v>0</v>
      </c>
      <c r="AG24" s="113">
        <v>3935</v>
      </c>
      <c r="AH24" s="115">
        <f t="shared" si="25"/>
        <v>2.7E-2</v>
      </c>
      <c r="AI24" s="113">
        <f t="shared" si="2"/>
        <v>2632.5</v>
      </c>
      <c r="AJ24" s="114">
        <f t="shared" si="26"/>
        <v>8.9999999999999993E-3</v>
      </c>
      <c r="AK24" s="116">
        <f t="shared" si="27"/>
        <v>8649</v>
      </c>
      <c r="AL24" s="117">
        <f t="shared" si="3"/>
        <v>1.2375000000000001E-2</v>
      </c>
      <c r="AM24" s="118">
        <f t="shared" si="4"/>
        <v>210.375</v>
      </c>
      <c r="AN24" s="119">
        <f t="shared" si="28"/>
        <v>4.0500000000000001E-2</v>
      </c>
      <c r="AO24" s="118">
        <f t="shared" si="5"/>
        <v>9720</v>
      </c>
      <c r="AP24" s="120">
        <f t="shared" si="29"/>
        <v>5.6249999999999998E-3</v>
      </c>
      <c r="AQ24" s="121">
        <f t="shared" si="32"/>
        <v>2784.375</v>
      </c>
      <c r="AR24" s="206"/>
      <c r="AS24" s="98" t="s">
        <v>207</v>
      </c>
      <c r="AT24" s="122">
        <f t="shared" si="33"/>
        <v>57447.037499999999</v>
      </c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</row>
    <row r="25" spans="1:144" s="207" customFormat="1" x14ac:dyDescent="0.3">
      <c r="A25" s="182" t="s">
        <v>197</v>
      </c>
      <c r="B25" s="98" t="s">
        <v>135</v>
      </c>
      <c r="C25" s="99">
        <v>0.42</v>
      </c>
      <c r="D25" s="98" t="s">
        <v>208</v>
      </c>
      <c r="E25" s="100"/>
      <c r="F25" s="100"/>
      <c r="G25" s="100"/>
      <c r="H25" s="236">
        <v>0</v>
      </c>
      <c r="I25" s="101">
        <f t="shared" si="6"/>
        <v>0</v>
      </c>
      <c r="J25" s="171">
        <f t="shared" si="7"/>
        <v>0</v>
      </c>
      <c r="K25" s="103">
        <f t="shared" si="0"/>
        <v>0</v>
      </c>
      <c r="L25" s="104">
        <f t="shared" si="8"/>
        <v>0</v>
      </c>
      <c r="M25" s="103">
        <f t="shared" si="1"/>
        <v>0</v>
      </c>
      <c r="N25" s="103">
        <f t="shared" si="9"/>
        <v>0</v>
      </c>
      <c r="O25" s="105">
        <f t="shared" si="10"/>
        <v>0</v>
      </c>
      <c r="P25" s="133">
        <f t="shared" si="11"/>
        <v>0</v>
      </c>
      <c r="Q25" s="103">
        <f t="shared" si="12"/>
        <v>0</v>
      </c>
      <c r="R25" s="134">
        <f t="shared" si="13"/>
        <v>0</v>
      </c>
      <c r="S25" s="103">
        <f t="shared" si="14"/>
        <v>0</v>
      </c>
      <c r="T25" s="134">
        <f t="shared" si="15"/>
        <v>0</v>
      </c>
      <c r="U25" s="103">
        <f t="shared" si="16"/>
        <v>0</v>
      </c>
      <c r="V25" s="107">
        <f t="shared" si="17"/>
        <v>0</v>
      </c>
      <c r="W25" s="105">
        <f t="shared" si="18"/>
        <v>0</v>
      </c>
      <c r="X25" s="109">
        <f t="shared" si="19"/>
        <v>0</v>
      </c>
      <c r="Y25" s="106">
        <f t="shared" si="20"/>
        <v>0</v>
      </c>
      <c r="Z25" s="110">
        <f t="shared" si="21"/>
        <v>0</v>
      </c>
      <c r="AA25" s="106">
        <f t="shared" si="22"/>
        <v>0</v>
      </c>
      <c r="AB25" s="110">
        <f t="shared" si="23"/>
        <v>0</v>
      </c>
      <c r="AC25" s="111">
        <f t="shared" si="24"/>
        <v>0</v>
      </c>
      <c r="AD25" s="112" t="s">
        <v>212</v>
      </c>
      <c r="AE25" s="113">
        <v>0</v>
      </c>
      <c r="AF25" s="114" t="s">
        <v>212</v>
      </c>
      <c r="AG25" s="113">
        <v>0</v>
      </c>
      <c r="AH25" s="115">
        <f t="shared" si="25"/>
        <v>0</v>
      </c>
      <c r="AI25" s="113">
        <f t="shared" si="2"/>
        <v>0</v>
      </c>
      <c r="AJ25" s="114">
        <v>0</v>
      </c>
      <c r="AK25" s="116">
        <f t="shared" si="27"/>
        <v>0</v>
      </c>
      <c r="AL25" s="117">
        <f t="shared" si="3"/>
        <v>0</v>
      </c>
      <c r="AM25" s="118">
        <v>0</v>
      </c>
      <c r="AN25" s="119">
        <f t="shared" si="28"/>
        <v>0</v>
      </c>
      <c r="AO25" s="118">
        <f t="shared" si="5"/>
        <v>0</v>
      </c>
      <c r="AP25" s="120">
        <f t="shared" si="29"/>
        <v>0</v>
      </c>
      <c r="AQ25" s="121">
        <f t="shared" si="32"/>
        <v>0</v>
      </c>
      <c r="AR25" s="206"/>
      <c r="AS25" s="98" t="s">
        <v>208</v>
      </c>
      <c r="AT25" s="122">
        <f t="shared" si="33"/>
        <v>0</v>
      </c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</row>
    <row r="26" spans="1:144" s="207" customFormat="1" x14ac:dyDescent="0.3">
      <c r="A26" s="247" t="s">
        <v>198</v>
      </c>
      <c r="B26" s="248" t="s">
        <v>139</v>
      </c>
      <c r="C26" s="249">
        <v>0.8</v>
      </c>
      <c r="D26" s="248" t="s">
        <v>209</v>
      </c>
      <c r="E26" s="250"/>
      <c r="F26" s="250"/>
      <c r="G26" s="250"/>
      <c r="H26" s="248">
        <v>20</v>
      </c>
      <c r="I26" s="251">
        <f t="shared" si="6"/>
        <v>45</v>
      </c>
      <c r="J26" s="171" t="s">
        <v>212</v>
      </c>
      <c r="K26" s="103" t="s">
        <v>212</v>
      </c>
      <c r="L26" s="104" t="s">
        <v>212</v>
      </c>
      <c r="M26" s="103"/>
      <c r="N26" s="103" t="s">
        <v>212</v>
      </c>
      <c r="O26" s="105" t="s">
        <v>212</v>
      </c>
      <c r="P26" s="133" t="s">
        <v>212</v>
      </c>
      <c r="Q26" s="106" t="s">
        <v>212</v>
      </c>
      <c r="R26" s="107" t="s">
        <v>212</v>
      </c>
      <c r="S26" s="106" t="s">
        <v>212</v>
      </c>
      <c r="T26" s="107" t="s">
        <v>212</v>
      </c>
      <c r="U26" s="106" t="s">
        <v>212</v>
      </c>
      <c r="V26" s="107" t="s">
        <v>212</v>
      </c>
      <c r="W26" s="108" t="s">
        <v>212</v>
      </c>
      <c r="X26" s="109" t="s">
        <v>212</v>
      </c>
      <c r="Y26" s="106" t="s">
        <v>212</v>
      </c>
      <c r="Z26" s="110" t="s">
        <v>212</v>
      </c>
      <c r="AA26" s="106" t="s">
        <v>212</v>
      </c>
      <c r="AB26" s="110" t="s">
        <v>212</v>
      </c>
      <c r="AC26" s="111" t="s">
        <v>212</v>
      </c>
      <c r="AD26" s="112"/>
      <c r="AE26" s="113" t="s">
        <v>212</v>
      </c>
      <c r="AF26" s="114" t="s">
        <v>212</v>
      </c>
      <c r="AG26" s="113" t="s">
        <v>212</v>
      </c>
      <c r="AH26" s="115" t="s">
        <v>212</v>
      </c>
      <c r="AI26" s="113" t="s">
        <v>212</v>
      </c>
      <c r="AJ26" s="114" t="s">
        <v>212</v>
      </c>
      <c r="AK26" s="116" t="s">
        <v>212</v>
      </c>
      <c r="AL26" s="117" t="s">
        <v>212</v>
      </c>
      <c r="AM26" s="118" t="s">
        <v>212</v>
      </c>
      <c r="AN26" s="119" t="s">
        <v>212</v>
      </c>
      <c r="AO26" s="118" t="s">
        <v>212</v>
      </c>
      <c r="AP26" s="120" t="s">
        <v>212</v>
      </c>
      <c r="AQ26" s="121" t="s">
        <v>212</v>
      </c>
      <c r="AR26" s="206"/>
      <c r="AS26" s="98" t="s">
        <v>209</v>
      </c>
      <c r="AT26" s="122">
        <v>0</v>
      </c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</row>
    <row r="27" spans="1:144" s="207" customFormat="1" ht="13.5" thickBot="1" x14ac:dyDescent="0.35">
      <c r="A27" s="240" t="s">
        <v>127</v>
      </c>
      <c r="B27" s="241" t="s">
        <v>139</v>
      </c>
      <c r="C27" s="242">
        <v>0.7</v>
      </c>
      <c r="D27" s="241" t="s">
        <v>220</v>
      </c>
      <c r="E27" s="183"/>
      <c r="F27" s="183"/>
      <c r="G27" s="183"/>
      <c r="H27" s="236">
        <v>0</v>
      </c>
      <c r="I27" s="243">
        <f t="shared" si="6"/>
        <v>0</v>
      </c>
      <c r="J27" s="171" t="s">
        <v>212</v>
      </c>
      <c r="K27" s="103" t="s">
        <v>212</v>
      </c>
      <c r="L27" s="104" t="s">
        <v>212</v>
      </c>
      <c r="M27" s="103" t="s">
        <v>212</v>
      </c>
      <c r="N27" s="103" t="s">
        <v>212</v>
      </c>
      <c r="O27" s="105" t="s">
        <v>212</v>
      </c>
      <c r="P27" s="133" t="s">
        <v>212</v>
      </c>
      <c r="Q27" s="106" t="s">
        <v>212</v>
      </c>
      <c r="R27" s="107" t="s">
        <v>212</v>
      </c>
      <c r="S27" s="106" t="s">
        <v>212</v>
      </c>
      <c r="T27" s="107" t="s">
        <v>212</v>
      </c>
      <c r="U27" s="106" t="s">
        <v>212</v>
      </c>
      <c r="V27" s="107" t="s">
        <v>212</v>
      </c>
      <c r="W27" s="108" t="s">
        <v>212</v>
      </c>
      <c r="X27" s="109" t="s">
        <v>212</v>
      </c>
      <c r="Y27" s="106" t="s">
        <v>212</v>
      </c>
      <c r="Z27" s="110" t="s">
        <v>212</v>
      </c>
      <c r="AA27" s="106" t="s">
        <v>212</v>
      </c>
      <c r="AB27" s="110" t="s">
        <v>212</v>
      </c>
      <c r="AC27" s="111" t="s">
        <v>212</v>
      </c>
      <c r="AD27" s="244" t="s">
        <v>212</v>
      </c>
      <c r="AE27" s="113" t="s">
        <v>212</v>
      </c>
      <c r="AF27" s="114" t="s">
        <v>212</v>
      </c>
      <c r="AG27" s="113" t="s">
        <v>212</v>
      </c>
      <c r="AH27" s="115" t="s">
        <v>212</v>
      </c>
      <c r="AI27" s="113" t="s">
        <v>212</v>
      </c>
      <c r="AJ27" s="114" t="s">
        <v>212</v>
      </c>
      <c r="AK27" s="116" t="s">
        <v>212</v>
      </c>
      <c r="AL27" s="117" t="s">
        <v>212</v>
      </c>
      <c r="AM27" s="118" t="s">
        <v>212</v>
      </c>
      <c r="AN27" s="119" t="s">
        <v>212</v>
      </c>
      <c r="AO27" s="118" t="s">
        <v>212</v>
      </c>
      <c r="AP27" s="120" t="s">
        <v>212</v>
      </c>
      <c r="AQ27" s="121" t="s">
        <v>212</v>
      </c>
      <c r="AR27" s="206"/>
      <c r="AS27" s="245" t="s">
        <v>220</v>
      </c>
      <c r="AT27" s="246">
        <v>0</v>
      </c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</row>
    <row r="28" spans="1:144" s="207" customFormat="1" ht="13.5" thickBot="1" x14ac:dyDescent="0.35">
      <c r="A28" s="316" t="s">
        <v>6</v>
      </c>
      <c r="B28" s="317"/>
      <c r="C28" s="317"/>
      <c r="D28" s="318"/>
      <c r="E28" s="237"/>
      <c r="F28" s="237"/>
      <c r="G28" s="237"/>
      <c r="H28" s="238">
        <f>SUM(H5:H27)</f>
        <v>1002</v>
      </c>
      <c r="I28" s="239">
        <f t="shared" si="6"/>
        <v>2254.5</v>
      </c>
      <c r="J28" s="186">
        <f t="shared" si="7"/>
        <v>363.53812500000004</v>
      </c>
      <c r="K28" s="187">
        <f t="shared" ref="K28" si="34">J28*1500</f>
        <v>545307.1875</v>
      </c>
      <c r="L28" s="188">
        <f t="shared" ref="L28" si="35">(I28/1000)*30</f>
        <v>67.635000000000005</v>
      </c>
      <c r="M28" s="187">
        <f t="shared" ref="M28" si="36">L28*3800</f>
        <v>257013.00000000003</v>
      </c>
      <c r="N28" s="187">
        <f t="shared" ref="N28" si="37">(I28/1000)*21000</f>
        <v>47344.5</v>
      </c>
      <c r="O28" s="189">
        <f t="shared" ref="O28" si="38">N28*15</f>
        <v>710167.5</v>
      </c>
      <c r="P28" s="190">
        <f>(26/100)*H28</f>
        <v>260.52</v>
      </c>
      <c r="Q28" s="156">
        <f t="shared" ref="Q28" si="39">P28*12359</f>
        <v>3219766.6799999997</v>
      </c>
      <c r="R28" s="167">
        <f>(37/100)*H28</f>
        <v>370.74</v>
      </c>
      <c r="S28" s="156">
        <f>R28*12359</f>
        <v>4581975.66</v>
      </c>
      <c r="T28" s="167">
        <f>(19/100)*H28</f>
        <v>190.38</v>
      </c>
      <c r="U28" s="156">
        <f>T28*18779</f>
        <v>3575146.02</v>
      </c>
      <c r="V28" s="167">
        <f t="shared" ref="V28" si="40">(5.5/100)*H28</f>
        <v>55.11</v>
      </c>
      <c r="W28" s="191">
        <f>V28*18779</f>
        <v>1034910.69</v>
      </c>
      <c r="X28" s="192">
        <f t="shared" ref="X28" si="41">I28/1800</f>
        <v>1.2524999999999999</v>
      </c>
      <c r="Y28" s="156">
        <f t="shared" ref="Y28" si="42">X28*130*1750</f>
        <v>284943.75</v>
      </c>
      <c r="Z28" s="166">
        <f t="shared" ref="Z28" si="43">(I28/1000)*0.5</f>
        <v>1.1272500000000001</v>
      </c>
      <c r="AA28" s="156">
        <f t="shared" ref="AA28" si="44">Z28*130*1750</f>
        <v>256449.37500000003</v>
      </c>
      <c r="AB28" s="166">
        <f t="shared" ref="AB28" si="45">(I28/1000)*1.78</f>
        <v>4.0130100000000004</v>
      </c>
      <c r="AC28" s="157">
        <f t="shared" ref="AC28" si="46">AB28*50*2390</f>
        <v>479554.69500000007</v>
      </c>
      <c r="AD28" s="168">
        <f>SUM(AD5:AD26)</f>
        <v>0.09</v>
      </c>
      <c r="AE28" s="169">
        <f>SUM(AE5:AE26)</f>
        <v>396493</v>
      </c>
      <c r="AF28" s="168">
        <v>0.1</v>
      </c>
      <c r="AG28" s="169">
        <v>229065</v>
      </c>
      <c r="AH28" s="170">
        <f t="shared" ref="AH28" si="47">(I28/1000)*1.2</f>
        <v>2.7054</v>
      </c>
      <c r="AI28" s="169">
        <f t="shared" ref="AI28" si="48">(AH28*10000)*9.75</f>
        <v>263776.5</v>
      </c>
      <c r="AJ28" s="168">
        <f t="shared" ref="AJ28" si="49">(I28/1000)*0.4</f>
        <v>0.90180000000000016</v>
      </c>
      <c r="AK28" s="193">
        <f t="shared" ref="AK28" si="50">(AJ28*10000)*96.1</f>
        <v>866629.80000000016</v>
      </c>
      <c r="AL28" s="194">
        <f t="shared" ref="AL28" si="51">(I28/1000)*0.55</f>
        <v>1.2399750000000003</v>
      </c>
      <c r="AM28" s="195">
        <f t="shared" ref="AM28" si="52">AL28*17000</f>
        <v>21079.575000000004</v>
      </c>
      <c r="AN28" s="196">
        <f t="shared" ref="AN28" si="53">(I28/1000)*1.8</f>
        <v>4.0581000000000005</v>
      </c>
      <c r="AO28" s="195">
        <f t="shared" ref="AO28" si="54">AN28*240000</f>
        <v>973944.00000000012</v>
      </c>
      <c r="AP28" s="197">
        <f t="shared" ref="AP28" si="55">(I28/1000)*0.25</f>
        <v>0.56362500000000004</v>
      </c>
      <c r="AQ28" s="198">
        <f t="shared" ref="AQ28" si="56">AP28*495000</f>
        <v>278994.375</v>
      </c>
      <c r="AR28" s="206"/>
      <c r="AS28" s="184" t="s">
        <v>6</v>
      </c>
      <c r="AT28" s="185">
        <f>K28+M28+O28+Y28+AA28+AC28+AE28+AG28+AI28+AK28+AM28+AO28+AQ28</f>
        <v>5563417.7575000003</v>
      </c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</row>
    <row r="29" spans="1:144" s="210" customFormat="1" ht="13.5" thickBot="1" x14ac:dyDescent="0.35">
      <c r="A29" s="172" t="s">
        <v>156</v>
      </c>
      <c r="B29" s="172" t="s">
        <v>157</v>
      </c>
      <c r="C29" s="173" t="s">
        <v>156</v>
      </c>
      <c r="D29" s="174" t="s">
        <v>155</v>
      </c>
      <c r="E29" s="175"/>
      <c r="F29" s="175"/>
      <c r="G29" s="175"/>
      <c r="H29" s="158">
        <v>607</v>
      </c>
      <c r="I29" s="159">
        <f t="shared" si="6"/>
        <v>1365.75</v>
      </c>
      <c r="J29" s="86">
        <f t="shared" si="7"/>
        <v>220.22718750000001</v>
      </c>
      <c r="K29" s="87">
        <f t="shared" si="0"/>
        <v>330340.78125</v>
      </c>
      <c r="L29" s="88">
        <f t="shared" si="8"/>
        <v>40.972500000000004</v>
      </c>
      <c r="M29" s="87">
        <f t="shared" si="1"/>
        <v>155695.5</v>
      </c>
      <c r="N29" s="89">
        <f t="shared" si="9"/>
        <v>28680.75</v>
      </c>
      <c r="O29" s="90">
        <f t="shared" si="10"/>
        <v>430211.25</v>
      </c>
      <c r="P29" s="160">
        <f>(26/100)*H29</f>
        <v>157.82</v>
      </c>
      <c r="Q29" s="89">
        <f t="shared" ref="Q29" si="57">P29*12359</f>
        <v>1950497.38</v>
      </c>
      <c r="R29" s="161">
        <f>(37/100)*H29</f>
        <v>224.59</v>
      </c>
      <c r="S29" s="89">
        <f t="shared" ref="S29" si="58">R29*12359</f>
        <v>2775707.81</v>
      </c>
      <c r="T29" s="161">
        <f>(19/100)*H29</f>
        <v>115.33</v>
      </c>
      <c r="U29" s="89">
        <f>T29*18779</f>
        <v>2165782.0699999998</v>
      </c>
      <c r="V29" s="161">
        <f t="shared" si="17"/>
        <v>33.384999999999998</v>
      </c>
      <c r="W29" s="90">
        <f>V29*18779</f>
        <v>626936.91499999992</v>
      </c>
      <c r="X29" s="86">
        <f t="shared" si="19"/>
        <v>0.75875000000000004</v>
      </c>
      <c r="Y29" s="7">
        <f t="shared" si="20"/>
        <v>172615.625</v>
      </c>
      <c r="Z29" s="88">
        <f t="shared" si="21"/>
        <v>0.68287500000000001</v>
      </c>
      <c r="AA29" s="7">
        <f t="shared" si="22"/>
        <v>155354.0625</v>
      </c>
      <c r="AB29" s="88">
        <f t="shared" si="23"/>
        <v>2.4310350000000001</v>
      </c>
      <c r="AC29" s="162">
        <f t="shared" si="24"/>
        <v>290508.6825</v>
      </c>
      <c r="AD29" s="163">
        <v>0.04</v>
      </c>
      <c r="AE29" s="91">
        <v>153078</v>
      </c>
      <c r="AF29" s="164">
        <v>0.06</v>
      </c>
      <c r="AG29" s="87">
        <v>142348</v>
      </c>
      <c r="AH29" s="88">
        <f t="shared" si="25"/>
        <v>1.6389</v>
      </c>
      <c r="AI29" s="87">
        <f t="shared" si="2"/>
        <v>159792.75</v>
      </c>
      <c r="AJ29" s="164">
        <f>(I29/1000)*0.4</f>
        <v>0.54630000000000001</v>
      </c>
      <c r="AK29" s="87">
        <f t="shared" si="27"/>
        <v>524994.29999999993</v>
      </c>
      <c r="AL29" s="86">
        <f t="shared" si="3"/>
        <v>0.75116250000000007</v>
      </c>
      <c r="AM29" s="87">
        <f t="shared" si="4"/>
        <v>12769.762500000001</v>
      </c>
      <c r="AN29" s="88">
        <f t="shared" si="28"/>
        <v>2.4583500000000003</v>
      </c>
      <c r="AO29" s="91">
        <f t="shared" si="5"/>
        <v>590004.00000000012</v>
      </c>
      <c r="AP29" s="92">
        <f t="shared" si="29"/>
        <v>0.3414375</v>
      </c>
      <c r="AQ29" s="165">
        <f>AP29*495000</f>
        <v>169011.5625</v>
      </c>
      <c r="AR29" s="209"/>
      <c r="AS29" s="129" t="s">
        <v>179</v>
      </c>
      <c r="AT29" s="131">
        <f>K29+M29+O29+Y29+AA29+AC29+AE29+AG29+AI29+AK29+AM29+AO29+AQ29</f>
        <v>3286724.2762500001</v>
      </c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</row>
    <row r="30" spans="1:144" ht="13.5" thickBot="1" x14ac:dyDescent="0.35">
      <c r="A30" s="310" t="s">
        <v>52</v>
      </c>
      <c r="B30" s="311"/>
      <c r="C30" s="311"/>
      <c r="D30" s="312"/>
      <c r="E30" s="85">
        <f>SUM(E5:E29)</f>
        <v>0</v>
      </c>
      <c r="F30" s="58">
        <f>SUM(F5:F29)</f>
        <v>0</v>
      </c>
      <c r="G30" s="58">
        <f>SUM(G5:G29)</f>
        <v>0</v>
      </c>
      <c r="H30" s="58">
        <f t="shared" ref="H30:AQ30" si="59">SUM(H5:H26)+H29</f>
        <v>1609</v>
      </c>
      <c r="I30" s="57">
        <f t="shared" si="59"/>
        <v>3620.25</v>
      </c>
      <c r="J30" s="57">
        <f t="shared" si="59"/>
        <v>576.50906250000003</v>
      </c>
      <c r="K30" s="219">
        <f t="shared" si="59"/>
        <v>864763.59375</v>
      </c>
      <c r="L30" s="57">
        <f t="shared" si="59"/>
        <v>107.25749999999999</v>
      </c>
      <c r="M30" s="219">
        <f t="shared" si="59"/>
        <v>407578.5</v>
      </c>
      <c r="N30" s="219">
        <f t="shared" si="59"/>
        <v>75080.25</v>
      </c>
      <c r="O30" s="219">
        <f t="shared" si="59"/>
        <v>1126203.75</v>
      </c>
      <c r="P30" s="57">
        <f t="shared" si="59"/>
        <v>413.14</v>
      </c>
      <c r="Q30" s="219">
        <f t="shared" si="59"/>
        <v>5663105.5</v>
      </c>
      <c r="R30" s="57">
        <f t="shared" si="59"/>
        <v>587.93000000000006</v>
      </c>
      <c r="S30" s="219">
        <f t="shared" si="59"/>
        <v>8059034.75</v>
      </c>
      <c r="T30" s="57">
        <f t="shared" si="59"/>
        <v>301.90999999999997</v>
      </c>
      <c r="U30" s="219">
        <f t="shared" si="59"/>
        <v>5669567.8900000006</v>
      </c>
      <c r="V30" s="57">
        <f t="shared" si="59"/>
        <v>87.394999999999996</v>
      </c>
      <c r="W30" s="219">
        <f t="shared" si="59"/>
        <v>1641190.7050000001</v>
      </c>
      <c r="X30" s="234">
        <f t="shared" si="59"/>
        <v>1.9862500000000001</v>
      </c>
      <c r="Y30" s="219">
        <f t="shared" si="59"/>
        <v>451871.875</v>
      </c>
      <c r="Z30" s="221">
        <f t="shared" si="59"/>
        <v>1.7876249999999998</v>
      </c>
      <c r="AA30" s="219">
        <f t="shared" si="59"/>
        <v>406684.6875</v>
      </c>
      <c r="AB30" s="57">
        <f t="shared" si="59"/>
        <v>6.3639450000000011</v>
      </c>
      <c r="AC30" s="219">
        <f t="shared" si="59"/>
        <v>760491.42749999999</v>
      </c>
      <c r="AD30" s="221">
        <f t="shared" si="59"/>
        <v>0.13</v>
      </c>
      <c r="AE30" s="219">
        <f t="shared" si="59"/>
        <v>549571</v>
      </c>
      <c r="AF30" s="221">
        <f t="shared" si="59"/>
        <v>0.17</v>
      </c>
      <c r="AG30" s="219">
        <f t="shared" si="59"/>
        <v>511049</v>
      </c>
      <c r="AH30" s="221">
        <f t="shared" si="59"/>
        <v>4.2903000000000002</v>
      </c>
      <c r="AI30" s="219">
        <f t="shared" si="59"/>
        <v>418304.25</v>
      </c>
      <c r="AJ30" s="221">
        <f t="shared" si="59"/>
        <v>1.4301000000000001</v>
      </c>
      <c r="AK30" s="219">
        <f t="shared" si="59"/>
        <v>1374326.1</v>
      </c>
      <c r="AL30" s="221">
        <f t="shared" si="59"/>
        <v>1.9663875000000006</v>
      </c>
      <c r="AM30" s="220">
        <f t="shared" si="59"/>
        <v>33428.587500000001</v>
      </c>
      <c r="AN30" s="221">
        <f t="shared" si="59"/>
        <v>6.4354500000000012</v>
      </c>
      <c r="AO30" s="219">
        <f t="shared" si="59"/>
        <v>1544508</v>
      </c>
      <c r="AP30" s="221">
        <f t="shared" si="59"/>
        <v>0.8938124999999999</v>
      </c>
      <c r="AQ30" s="218">
        <f t="shared" si="59"/>
        <v>442437.1875</v>
      </c>
      <c r="AS30" s="132" t="s">
        <v>52</v>
      </c>
      <c r="AT30" s="130">
        <f>SUM(AT5:AT29)</f>
        <v>14454635.716250002</v>
      </c>
    </row>
    <row r="31" spans="1:144" ht="13.5" thickBot="1" x14ac:dyDescent="0.35"/>
    <row r="32" spans="1:144" ht="13.5" thickBot="1" x14ac:dyDescent="0.35">
      <c r="N32" s="36" t="s">
        <v>40</v>
      </c>
      <c r="O32" s="37">
        <f>K30+M30+O30</f>
        <v>2398545.84375</v>
      </c>
      <c r="P32" s="56"/>
      <c r="Q32" s="56"/>
      <c r="R32" s="56"/>
      <c r="S32" s="56"/>
      <c r="T32" s="56"/>
      <c r="U32" s="56"/>
      <c r="V32" s="70" t="s">
        <v>90</v>
      </c>
      <c r="W32" s="37">
        <f>Q30+S30+U30+W30</f>
        <v>21032898.844999999</v>
      </c>
      <c r="AA32" s="322" t="s">
        <v>41</v>
      </c>
      <c r="AB32" s="322"/>
      <c r="AC32" s="37">
        <f>Y30+AA30+AC30</f>
        <v>1619047.99</v>
      </c>
      <c r="AH32" s="321" t="s">
        <v>43</v>
      </c>
      <c r="AI32" s="321"/>
      <c r="AJ32" s="321"/>
      <c r="AK32" s="37">
        <f>AE30+AG30+AI30+AK30</f>
        <v>2853250.35</v>
      </c>
      <c r="AM32" s="320" t="s">
        <v>42</v>
      </c>
      <c r="AN32" s="320"/>
      <c r="AO32" s="37">
        <f>AM30+AO30+AQ30</f>
        <v>2020373.7749999999</v>
      </c>
      <c r="AP32" s="56"/>
      <c r="AQ32" s="56"/>
    </row>
    <row r="34" spans="4:33" x14ac:dyDescent="0.3">
      <c r="D34" s="77"/>
      <c r="E34" s="77"/>
      <c r="F34" s="77"/>
      <c r="G34" s="211"/>
      <c r="H34" s="211"/>
      <c r="I34" s="211"/>
    </row>
    <row r="35" spans="4:33" x14ac:dyDescent="0.3">
      <c r="D35" s="73"/>
      <c r="E35" s="73"/>
      <c r="F35" s="73"/>
      <c r="G35" s="211"/>
      <c r="H35" s="211"/>
      <c r="I35" s="211"/>
    </row>
    <row r="36" spans="4:33" x14ac:dyDescent="0.3">
      <c r="D36" s="75"/>
      <c r="E36" s="74"/>
      <c r="F36" s="74"/>
      <c r="G36" s="211"/>
      <c r="H36" s="211"/>
      <c r="I36" s="211"/>
      <c r="AD36" s="212"/>
      <c r="AE36" s="212"/>
      <c r="AF36" s="212"/>
      <c r="AG36" s="212"/>
    </row>
    <row r="37" spans="4:33" x14ac:dyDescent="0.3">
      <c r="D37" s="75"/>
      <c r="E37" s="74"/>
      <c r="F37" s="74"/>
      <c r="G37" s="211"/>
      <c r="H37" s="211"/>
      <c r="I37" s="211"/>
      <c r="AD37" s="212"/>
      <c r="AE37" s="213"/>
      <c r="AF37" s="212"/>
      <c r="AG37" s="213"/>
    </row>
    <row r="38" spans="4:33" x14ac:dyDescent="0.3">
      <c r="D38" s="75"/>
      <c r="E38" s="214"/>
      <c r="F38" s="74"/>
      <c r="G38" s="211"/>
      <c r="H38" s="211"/>
      <c r="I38" s="211"/>
    </row>
    <row r="39" spans="4:33" x14ac:dyDescent="0.3">
      <c r="D39" s="75"/>
      <c r="E39" s="74"/>
      <c r="F39" s="74"/>
      <c r="G39" s="211"/>
      <c r="H39" s="76"/>
      <c r="I39" s="76"/>
    </row>
    <row r="40" spans="4:33" x14ac:dyDescent="0.3">
      <c r="D40" s="75"/>
      <c r="E40" s="74"/>
      <c r="F40" s="74"/>
      <c r="G40" s="211"/>
      <c r="H40" s="76"/>
      <c r="I40" s="76"/>
    </row>
    <row r="41" spans="4:33" x14ac:dyDescent="0.3">
      <c r="D41" s="75"/>
      <c r="E41" s="74"/>
      <c r="F41" s="74"/>
      <c r="G41" s="211"/>
      <c r="H41" s="76"/>
      <c r="I41" s="76"/>
    </row>
    <row r="42" spans="4:33" x14ac:dyDescent="0.3">
      <c r="D42" s="75"/>
      <c r="E42" s="74"/>
      <c r="F42" s="74"/>
      <c r="G42" s="211"/>
      <c r="H42" s="76"/>
      <c r="I42" s="76"/>
    </row>
    <row r="43" spans="4:33" x14ac:dyDescent="0.3">
      <c r="D43" s="75"/>
      <c r="E43" s="74"/>
      <c r="F43" s="74"/>
      <c r="G43" s="211"/>
      <c r="H43" s="211"/>
      <c r="I43" s="211"/>
    </row>
    <row r="44" spans="4:33" x14ac:dyDescent="0.3">
      <c r="D44" s="75"/>
      <c r="E44" s="74"/>
      <c r="F44" s="74"/>
      <c r="G44" s="211"/>
      <c r="H44" s="211"/>
      <c r="I44" s="211"/>
    </row>
    <row r="45" spans="4:33" x14ac:dyDescent="0.3">
      <c r="D45" s="75"/>
      <c r="E45" s="74"/>
      <c r="F45" s="74"/>
      <c r="G45" s="211"/>
      <c r="H45" s="211"/>
      <c r="I45" s="211"/>
    </row>
    <row r="46" spans="4:33" x14ac:dyDescent="0.3">
      <c r="D46" s="75"/>
      <c r="E46" s="74"/>
      <c r="F46" s="74"/>
      <c r="G46" s="211"/>
      <c r="H46" s="211"/>
      <c r="I46" s="211"/>
    </row>
    <row r="47" spans="4:33" x14ac:dyDescent="0.3">
      <c r="D47" s="75"/>
      <c r="E47" s="74"/>
      <c r="F47" s="74"/>
      <c r="G47" s="211"/>
      <c r="H47" s="211"/>
      <c r="I47" s="211"/>
    </row>
    <row r="48" spans="4:33" x14ac:dyDescent="0.3">
      <c r="D48" s="75"/>
      <c r="E48" s="74"/>
      <c r="F48" s="74"/>
      <c r="G48" s="211"/>
      <c r="H48" s="211"/>
      <c r="I48" s="211"/>
    </row>
    <row r="49" spans="4:9" x14ac:dyDescent="0.3">
      <c r="D49" s="75"/>
      <c r="E49" s="74"/>
      <c r="F49" s="74"/>
      <c r="G49" s="211"/>
      <c r="H49" s="211"/>
      <c r="I49" s="211"/>
    </row>
    <row r="50" spans="4:9" x14ac:dyDescent="0.3">
      <c r="D50" s="75"/>
      <c r="E50" s="74"/>
      <c r="F50" s="74"/>
      <c r="G50" s="211"/>
      <c r="H50" s="211"/>
      <c r="I50" s="211"/>
    </row>
    <row r="51" spans="4:9" x14ac:dyDescent="0.3">
      <c r="D51" s="75"/>
      <c r="E51" s="74"/>
      <c r="F51" s="74"/>
      <c r="G51" s="211"/>
      <c r="H51" s="211"/>
      <c r="I51" s="211"/>
    </row>
    <row r="52" spans="4:9" x14ac:dyDescent="0.3">
      <c r="D52" s="75"/>
      <c r="E52" s="74"/>
      <c r="F52" s="74"/>
      <c r="G52" s="211"/>
      <c r="H52" s="211"/>
      <c r="I52" s="211"/>
    </row>
    <row r="53" spans="4:9" x14ac:dyDescent="0.3">
      <c r="D53" s="211"/>
      <c r="E53" s="211"/>
      <c r="F53" s="211"/>
      <c r="G53" s="211"/>
      <c r="H53" s="211"/>
      <c r="I53" s="211"/>
    </row>
    <row r="54" spans="4:9" x14ac:dyDescent="0.3">
      <c r="D54" s="211"/>
      <c r="E54" s="211"/>
      <c r="F54" s="211"/>
      <c r="G54" s="211"/>
      <c r="H54" s="211"/>
      <c r="I54" s="211"/>
    </row>
    <row r="55" spans="4:9" x14ac:dyDescent="0.3">
      <c r="D55" s="211"/>
      <c r="E55" s="211"/>
      <c r="F55" s="211"/>
      <c r="G55" s="211"/>
      <c r="H55" s="211"/>
      <c r="I55" s="211"/>
    </row>
  </sheetData>
  <mergeCells count="39">
    <mergeCell ref="AL2:AQ2"/>
    <mergeCell ref="AP3:AQ3"/>
    <mergeCell ref="J3:K3"/>
    <mergeCell ref="J2:O2"/>
    <mergeCell ref="D3:D4"/>
    <mergeCell ref="E3:E4"/>
    <mergeCell ref="F3:F4"/>
    <mergeCell ref="P2:W2"/>
    <mergeCell ref="P3:Q3"/>
    <mergeCell ref="R3:S3"/>
    <mergeCell ref="T3:U3"/>
    <mergeCell ref="V3:W3"/>
    <mergeCell ref="X2:AC2"/>
    <mergeCell ref="AD2:AK2"/>
    <mergeCell ref="AD3:AE3"/>
    <mergeCell ref="AF3:AG3"/>
    <mergeCell ref="L3:M3"/>
    <mergeCell ref="N3:O3"/>
    <mergeCell ref="X3:Y3"/>
    <mergeCell ref="Z3:AA3"/>
    <mergeCell ref="AB3:AC3"/>
    <mergeCell ref="AH3:AI3"/>
    <mergeCell ref="AM32:AN32"/>
    <mergeCell ref="AH32:AJ32"/>
    <mergeCell ref="AA32:AB32"/>
    <mergeCell ref="AT3:AT4"/>
    <mergeCell ref="AS3:AS4"/>
    <mergeCell ref="AJ3:AK3"/>
    <mergeCell ref="AL3:AM3"/>
    <mergeCell ref="AN3:AO3"/>
    <mergeCell ref="A3:A4"/>
    <mergeCell ref="C3:C4"/>
    <mergeCell ref="A2:I2"/>
    <mergeCell ref="B3:B4"/>
    <mergeCell ref="A30:D30"/>
    <mergeCell ref="G3:G4"/>
    <mergeCell ref="H3:H4"/>
    <mergeCell ref="I3:I4"/>
    <mergeCell ref="A28:D28"/>
  </mergeCells>
  <pageMargins left="0.7" right="0.7" top="0.75" bottom="0.75" header="0.3" footer="0.3"/>
  <pageSetup paperSize="8" scale="3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zoomScale="115" zoomScaleNormal="115" workbookViewId="0">
      <selection activeCell="C27" sqref="C27"/>
    </sheetView>
  </sheetViews>
  <sheetFormatPr defaultRowHeight="14.5" x14ac:dyDescent="0.35"/>
  <cols>
    <col min="1" max="1" width="28.7265625" customWidth="1"/>
    <col min="2" max="2" width="12.453125" customWidth="1"/>
    <col min="3" max="3" width="10.81640625" customWidth="1"/>
    <col min="4" max="4" width="16" customWidth="1"/>
    <col min="5" max="5" width="11.7265625" customWidth="1"/>
    <col min="6" max="6" width="11.1796875" customWidth="1"/>
    <col min="7" max="7" width="16.453125" customWidth="1"/>
    <col min="8" max="8" width="12.1796875" customWidth="1"/>
    <col min="9" max="9" width="10.81640625" customWidth="1"/>
    <col min="10" max="10" width="17" customWidth="1"/>
    <col min="14" max="14" width="10.81640625" customWidth="1"/>
    <col min="15" max="15" width="15.81640625" customWidth="1"/>
  </cols>
  <sheetData>
    <row r="1" spans="1:10" ht="15" thickBot="1" x14ac:dyDescent="0.4"/>
    <row r="2" spans="1:10" ht="15.75" customHeight="1" thickBot="1" x14ac:dyDescent="0.4">
      <c r="A2" s="264" t="s">
        <v>181</v>
      </c>
      <c r="B2" s="265"/>
      <c r="C2" s="266"/>
      <c r="D2" s="199"/>
      <c r="E2" s="199"/>
      <c r="F2" s="199"/>
      <c r="G2" s="199"/>
      <c r="H2" s="199"/>
      <c r="I2" s="199"/>
      <c r="J2" s="199"/>
    </row>
    <row r="3" spans="1:10" x14ac:dyDescent="0.35">
      <c r="A3" s="199"/>
      <c r="B3" s="344" t="s">
        <v>163</v>
      </c>
      <c r="C3" s="345"/>
      <c r="D3" s="346"/>
      <c r="E3" s="344" t="s">
        <v>164</v>
      </c>
      <c r="F3" s="345"/>
      <c r="G3" s="346"/>
      <c r="H3" s="344" t="s">
        <v>180</v>
      </c>
      <c r="I3" s="345"/>
      <c r="J3" s="346"/>
    </row>
    <row r="4" spans="1:10" x14ac:dyDescent="0.35">
      <c r="A4" s="200"/>
      <c r="B4" s="201" t="s">
        <v>173</v>
      </c>
      <c r="C4" s="201" t="s">
        <v>168</v>
      </c>
      <c r="D4" s="201" t="s">
        <v>183</v>
      </c>
      <c r="E4" s="201" t="s">
        <v>173</v>
      </c>
      <c r="F4" s="201" t="s">
        <v>168</v>
      </c>
      <c r="G4" s="201" t="s">
        <v>183</v>
      </c>
      <c r="H4" s="201" t="s">
        <v>173</v>
      </c>
      <c r="I4" s="201" t="s">
        <v>168</v>
      </c>
      <c r="J4" s="201" t="s">
        <v>183</v>
      </c>
    </row>
    <row r="5" spans="1:10" x14ac:dyDescent="0.35">
      <c r="A5" s="201" t="s">
        <v>165</v>
      </c>
      <c r="B5" s="202">
        <v>0.3</v>
      </c>
      <c r="C5" s="200">
        <f>C$8*B5</f>
        <v>300.59999999999997</v>
      </c>
      <c r="D5" s="215">
        <f>C5*50</f>
        <v>15029.999999999998</v>
      </c>
      <c r="E5" s="202">
        <v>0.2</v>
      </c>
      <c r="F5" s="200">
        <f t="shared" ref="F5:F6" si="0">F$8*E5</f>
        <v>200.4</v>
      </c>
      <c r="G5" s="215">
        <f>F5*50</f>
        <v>10020</v>
      </c>
      <c r="H5" s="202">
        <v>0.2</v>
      </c>
      <c r="I5" s="200">
        <f t="shared" ref="I5:I6" si="1">I$8*H5</f>
        <v>200.4</v>
      </c>
      <c r="J5" s="215">
        <f>I5*50</f>
        <v>10020</v>
      </c>
    </row>
    <row r="6" spans="1:10" x14ac:dyDescent="0.35">
      <c r="A6" s="201" t="s">
        <v>166</v>
      </c>
      <c r="B6" s="202">
        <v>0.3</v>
      </c>
      <c r="C6" s="200">
        <f t="shared" ref="C6" si="2">C$8*B6</f>
        <v>300.59999999999997</v>
      </c>
      <c r="D6" s="215">
        <f>C6*70</f>
        <v>21041.999999999996</v>
      </c>
      <c r="E6" s="202">
        <v>0.3</v>
      </c>
      <c r="F6" s="200">
        <f t="shared" si="0"/>
        <v>300.59999999999997</v>
      </c>
      <c r="G6" s="215">
        <f>F6*70</f>
        <v>21041.999999999996</v>
      </c>
      <c r="H6" s="202">
        <v>0.2</v>
      </c>
      <c r="I6" s="200">
        <f t="shared" si="1"/>
        <v>200.4</v>
      </c>
      <c r="J6" s="215">
        <f>I6*70</f>
        <v>14028</v>
      </c>
    </row>
    <row r="7" spans="1:10" x14ac:dyDescent="0.35">
      <c r="A7" s="201" t="s">
        <v>167</v>
      </c>
      <c r="B7" s="202">
        <v>0.4</v>
      </c>
      <c r="C7" s="200">
        <f>C$8*B7</f>
        <v>400.8</v>
      </c>
      <c r="D7" s="215">
        <f>C7*93</f>
        <v>37274.400000000001</v>
      </c>
      <c r="E7" s="202">
        <v>0.5</v>
      </c>
      <c r="F7" s="200">
        <f>F$8*E7</f>
        <v>501</v>
      </c>
      <c r="G7" s="215">
        <f>F7*93</f>
        <v>46593</v>
      </c>
      <c r="H7" s="202">
        <v>0.6</v>
      </c>
      <c r="I7" s="200">
        <f>I$8*H7</f>
        <v>601.19999999999993</v>
      </c>
      <c r="J7" s="215">
        <f>I7*93</f>
        <v>55911.599999999991</v>
      </c>
    </row>
    <row r="8" spans="1:10" x14ac:dyDescent="0.35">
      <c r="A8" s="201" t="s">
        <v>52</v>
      </c>
      <c r="B8" s="202">
        <v>1</v>
      </c>
      <c r="C8" s="203">
        <f>'Plan Period Infrastructure'!H28</f>
        <v>1002</v>
      </c>
      <c r="D8" s="215">
        <f>SUM(D5:D7)</f>
        <v>73346.399999999994</v>
      </c>
      <c r="E8" s="202">
        <v>1</v>
      </c>
      <c r="F8" s="203">
        <f>'Plan Period Infrastructure'!H28</f>
        <v>1002</v>
      </c>
      <c r="G8" s="215">
        <f>SUM(G5:G7)</f>
        <v>77655</v>
      </c>
      <c r="H8" s="202">
        <v>1</v>
      </c>
      <c r="I8" s="203">
        <f>'Plan Period Infrastructure'!H28</f>
        <v>1002</v>
      </c>
      <c r="J8" s="215">
        <f>SUM(J5:J7)</f>
        <v>79959.599999999991</v>
      </c>
    </row>
    <row r="9" spans="1:10" x14ac:dyDescent="0.35">
      <c r="A9" s="201" t="s">
        <v>182</v>
      </c>
      <c r="B9" s="200"/>
      <c r="C9" s="200"/>
      <c r="D9" s="216">
        <f>D8*45</f>
        <v>3300587.9999999995</v>
      </c>
      <c r="E9" s="205"/>
      <c r="F9" s="205"/>
      <c r="G9" s="216">
        <f>G8*45</f>
        <v>3494475</v>
      </c>
      <c r="H9" s="205"/>
      <c r="I9" s="205"/>
      <c r="J9" s="216">
        <f>J8*45</f>
        <v>3598181.9999999995</v>
      </c>
    </row>
    <row r="10" spans="1:10" ht="15" thickBot="1" x14ac:dyDescent="0.4">
      <c r="A10" s="199"/>
      <c r="B10" s="199"/>
      <c r="C10" s="199"/>
      <c r="D10" s="199"/>
      <c r="E10" s="199"/>
      <c r="F10" s="199"/>
      <c r="G10" s="199"/>
      <c r="H10" s="199"/>
      <c r="I10" s="199"/>
      <c r="J10" s="199"/>
    </row>
    <row r="11" spans="1:10" ht="15" thickBot="1" x14ac:dyDescent="0.4">
      <c r="A11" s="264" t="s">
        <v>184</v>
      </c>
      <c r="B11" s="265"/>
      <c r="C11" s="266"/>
      <c r="D11" s="199"/>
      <c r="E11" s="199"/>
      <c r="F11" s="199"/>
      <c r="G11" s="199"/>
      <c r="H11" s="199"/>
      <c r="I11" s="199"/>
      <c r="J11" s="199"/>
    </row>
    <row r="12" spans="1:10" x14ac:dyDescent="0.35">
      <c r="A12" s="199"/>
      <c r="B12" s="344" t="s">
        <v>163</v>
      </c>
      <c r="C12" s="345"/>
      <c r="D12" s="346"/>
      <c r="E12" s="344" t="s">
        <v>164</v>
      </c>
      <c r="F12" s="345"/>
      <c r="G12" s="346"/>
      <c r="H12" s="344" t="s">
        <v>180</v>
      </c>
      <c r="I12" s="345"/>
      <c r="J12" s="346"/>
    </row>
    <row r="13" spans="1:10" x14ac:dyDescent="0.35">
      <c r="A13" s="200"/>
      <c r="B13" s="201" t="s">
        <v>173</v>
      </c>
      <c r="C13" s="201" t="s">
        <v>168</v>
      </c>
      <c r="D13" s="201" t="s">
        <v>183</v>
      </c>
      <c r="E13" s="201" t="s">
        <v>173</v>
      </c>
      <c r="F13" s="201" t="s">
        <v>168</v>
      </c>
      <c r="G13" s="201" t="s">
        <v>183</v>
      </c>
      <c r="H13" s="201" t="s">
        <v>173</v>
      </c>
      <c r="I13" s="201" t="s">
        <v>168</v>
      </c>
      <c r="J13" s="201" t="s">
        <v>183</v>
      </c>
    </row>
    <row r="14" spans="1:10" x14ac:dyDescent="0.35">
      <c r="A14" s="201" t="s">
        <v>165</v>
      </c>
      <c r="B14" s="202">
        <v>0.3</v>
      </c>
      <c r="C14" s="217">
        <f t="shared" ref="C14:C15" si="3">C$17*B14</f>
        <v>182.1</v>
      </c>
      <c r="D14" s="215">
        <f>C14*50</f>
        <v>9105</v>
      </c>
      <c r="E14" s="202">
        <v>0.2</v>
      </c>
      <c r="F14" s="217">
        <f t="shared" ref="F14:F15" si="4">F$17*E14</f>
        <v>121.4</v>
      </c>
      <c r="G14" s="215">
        <f>F14*50</f>
        <v>6070</v>
      </c>
      <c r="H14" s="202">
        <v>0.2</v>
      </c>
      <c r="I14" s="217">
        <f t="shared" ref="I14:I15" si="5">I$17*H14</f>
        <v>121.4</v>
      </c>
      <c r="J14" s="215">
        <f>I14*50</f>
        <v>6070</v>
      </c>
    </row>
    <row r="15" spans="1:10" x14ac:dyDescent="0.35">
      <c r="A15" s="201" t="s">
        <v>166</v>
      </c>
      <c r="B15" s="202">
        <v>0.3</v>
      </c>
      <c r="C15" s="217">
        <f t="shared" si="3"/>
        <v>182.1</v>
      </c>
      <c r="D15" s="215">
        <f>C15*70</f>
        <v>12747</v>
      </c>
      <c r="E15" s="202">
        <v>0.3</v>
      </c>
      <c r="F15" s="217">
        <f t="shared" si="4"/>
        <v>182.1</v>
      </c>
      <c r="G15" s="215">
        <f>F15*70</f>
        <v>12747</v>
      </c>
      <c r="H15" s="202">
        <v>0.2</v>
      </c>
      <c r="I15" s="217">
        <f t="shared" si="5"/>
        <v>121.4</v>
      </c>
      <c r="J15" s="215">
        <f>I15*70</f>
        <v>8498</v>
      </c>
    </row>
    <row r="16" spans="1:10" x14ac:dyDescent="0.35">
      <c r="A16" s="201" t="s">
        <v>167</v>
      </c>
      <c r="B16" s="202">
        <v>0.4</v>
      </c>
      <c r="C16" s="217">
        <f>C$17*B16</f>
        <v>242.8</v>
      </c>
      <c r="D16" s="215">
        <f>C16*93</f>
        <v>22580.400000000001</v>
      </c>
      <c r="E16" s="202">
        <v>0.5</v>
      </c>
      <c r="F16" s="217">
        <f>F$17*E16</f>
        <v>303.5</v>
      </c>
      <c r="G16" s="215">
        <f>F16*93</f>
        <v>28225.5</v>
      </c>
      <c r="H16" s="202">
        <v>0.6</v>
      </c>
      <c r="I16" s="217">
        <f>I$17*H16</f>
        <v>364.2</v>
      </c>
      <c r="J16" s="215">
        <f>I16*93</f>
        <v>33870.6</v>
      </c>
    </row>
    <row r="17" spans="1:10" x14ac:dyDescent="0.35">
      <c r="A17" s="201" t="s">
        <v>52</v>
      </c>
      <c r="B17" s="202">
        <v>1</v>
      </c>
      <c r="C17" s="217">
        <f>'Plan Period Infrastructure'!H29</f>
        <v>607</v>
      </c>
      <c r="D17" s="215">
        <f>SUM(D14:D16)</f>
        <v>44432.4</v>
      </c>
      <c r="E17" s="202">
        <v>1</v>
      </c>
      <c r="F17" s="217">
        <f>'Plan Period Infrastructure'!H29</f>
        <v>607</v>
      </c>
      <c r="G17" s="215">
        <f>SUM(G14:G16)</f>
        <v>47042.5</v>
      </c>
      <c r="H17" s="202">
        <v>1</v>
      </c>
      <c r="I17" s="217">
        <f>'Plan Period Infrastructure'!H29</f>
        <v>607</v>
      </c>
      <c r="J17" s="215">
        <f>SUM(J14:J16)</f>
        <v>48438.6</v>
      </c>
    </row>
    <row r="18" spans="1:10" x14ac:dyDescent="0.35">
      <c r="A18" s="201" t="s">
        <v>182</v>
      </c>
      <c r="B18" s="200"/>
      <c r="C18" s="200"/>
      <c r="D18" s="204">
        <f>D17*45</f>
        <v>1999458</v>
      </c>
      <c r="E18" s="205"/>
      <c r="F18" s="205"/>
      <c r="G18" s="204">
        <f>G17*45</f>
        <v>2116912.5</v>
      </c>
      <c r="H18" s="205"/>
      <c r="I18" s="205"/>
      <c r="J18" s="204">
        <f>J17*45</f>
        <v>2179737</v>
      </c>
    </row>
    <row r="19" spans="1:10" ht="15" thickBot="1" x14ac:dyDescent="0.4"/>
    <row r="20" spans="1:10" ht="15" thickBot="1" x14ac:dyDescent="0.4">
      <c r="A20" s="264" t="s">
        <v>185</v>
      </c>
      <c r="B20" s="265"/>
      <c r="C20" s="266"/>
      <c r="D20" s="199"/>
      <c r="E20" s="199"/>
      <c r="F20" s="199"/>
      <c r="G20" s="199"/>
      <c r="H20" s="199"/>
      <c r="I20" s="199"/>
      <c r="J20" s="199"/>
    </row>
    <row r="21" spans="1:10" x14ac:dyDescent="0.35">
      <c r="A21" s="199"/>
      <c r="B21" s="344" t="s">
        <v>163</v>
      </c>
      <c r="C21" s="345"/>
      <c r="D21" s="346"/>
      <c r="E21" s="344" t="s">
        <v>164</v>
      </c>
      <c r="F21" s="345"/>
      <c r="G21" s="346"/>
      <c r="H21" s="344" t="s">
        <v>180</v>
      </c>
      <c r="I21" s="345"/>
      <c r="J21" s="346"/>
    </row>
    <row r="22" spans="1:10" x14ac:dyDescent="0.35">
      <c r="A22" s="200"/>
      <c r="B22" s="201" t="s">
        <v>173</v>
      </c>
      <c r="C22" s="201" t="s">
        <v>168</v>
      </c>
      <c r="D22" s="201" t="s">
        <v>183</v>
      </c>
      <c r="E22" s="201" t="s">
        <v>173</v>
      </c>
      <c r="F22" s="201" t="s">
        <v>168</v>
      </c>
      <c r="G22" s="201" t="s">
        <v>183</v>
      </c>
      <c r="H22" s="201" t="s">
        <v>173</v>
      </c>
      <c r="I22" s="201" t="s">
        <v>168</v>
      </c>
      <c r="J22" s="201" t="s">
        <v>183</v>
      </c>
    </row>
    <row r="23" spans="1:10" x14ac:dyDescent="0.35">
      <c r="A23" s="201" t="s">
        <v>165</v>
      </c>
      <c r="B23" s="202">
        <v>0.3</v>
      </c>
      <c r="C23" s="200">
        <f t="shared" ref="C23:C24" si="6">C$8*B23</f>
        <v>300.59999999999997</v>
      </c>
      <c r="D23" s="215">
        <f>C23*50</f>
        <v>15029.999999999998</v>
      </c>
      <c r="E23" s="202">
        <v>0.2</v>
      </c>
      <c r="F23" s="200">
        <f t="shared" ref="F23:F24" si="7">F$8*E23</f>
        <v>200.4</v>
      </c>
      <c r="G23" s="215">
        <f>F23*50</f>
        <v>10020</v>
      </c>
      <c r="H23" s="202">
        <v>0.2</v>
      </c>
      <c r="I23" s="200">
        <f t="shared" ref="I23:I24" si="8">I$8*H23</f>
        <v>200.4</v>
      </c>
      <c r="J23" s="215">
        <f>I23*50</f>
        <v>10020</v>
      </c>
    </row>
    <row r="24" spans="1:10" x14ac:dyDescent="0.35">
      <c r="A24" s="201" t="s">
        <v>166</v>
      </c>
      <c r="B24" s="202">
        <v>0.3</v>
      </c>
      <c r="C24" s="200">
        <f t="shared" si="6"/>
        <v>300.59999999999997</v>
      </c>
      <c r="D24" s="215">
        <f>C24*70</f>
        <v>21041.999999999996</v>
      </c>
      <c r="E24" s="202">
        <v>0.3</v>
      </c>
      <c r="F24" s="200">
        <f t="shared" si="7"/>
        <v>300.59999999999997</v>
      </c>
      <c r="G24" s="215">
        <f>F24*70</f>
        <v>21041.999999999996</v>
      </c>
      <c r="H24" s="202">
        <v>0.2</v>
      </c>
      <c r="I24" s="200">
        <f t="shared" si="8"/>
        <v>200.4</v>
      </c>
      <c r="J24" s="215">
        <f>I24*70</f>
        <v>14028</v>
      </c>
    </row>
    <row r="25" spans="1:10" x14ac:dyDescent="0.35">
      <c r="A25" s="201" t="s">
        <v>167</v>
      </c>
      <c r="B25" s="202">
        <v>0.4</v>
      </c>
      <c r="C25" s="200">
        <f>C$8*B25</f>
        <v>400.8</v>
      </c>
      <c r="D25" s="215">
        <f>C25*93</f>
        <v>37274.400000000001</v>
      </c>
      <c r="E25" s="202">
        <v>0.5</v>
      </c>
      <c r="F25" s="200">
        <f>F$8*E25</f>
        <v>501</v>
      </c>
      <c r="G25" s="215">
        <f>F25*93</f>
        <v>46593</v>
      </c>
      <c r="H25" s="202">
        <v>0.6</v>
      </c>
      <c r="I25" s="200">
        <f>I$8*H25</f>
        <v>601.19999999999993</v>
      </c>
      <c r="J25" s="215">
        <f>I25*93</f>
        <v>55911.599999999991</v>
      </c>
    </row>
    <row r="26" spans="1:10" x14ac:dyDescent="0.35">
      <c r="A26" s="201" t="s">
        <v>52</v>
      </c>
      <c r="B26" s="202">
        <v>1</v>
      </c>
      <c r="C26" s="203">
        <f>'Plan Period Infrastructure'!H30</f>
        <v>1609</v>
      </c>
      <c r="D26" s="215">
        <f>SUM(D23:D25)</f>
        <v>73346.399999999994</v>
      </c>
      <c r="E26" s="202">
        <v>1</v>
      </c>
      <c r="F26" s="203">
        <f>'Plan Period Infrastructure'!H30</f>
        <v>1609</v>
      </c>
      <c r="G26" s="215">
        <f>SUM(G23:G25)</f>
        <v>77655</v>
      </c>
      <c r="H26" s="202">
        <v>1</v>
      </c>
      <c r="I26" s="203">
        <f>'Plan Period Infrastructure'!H30</f>
        <v>1609</v>
      </c>
      <c r="J26" s="215">
        <f>SUM(J23:J25)</f>
        <v>79959.599999999991</v>
      </c>
    </row>
    <row r="27" spans="1:10" x14ac:dyDescent="0.35">
      <c r="A27" s="201" t="s">
        <v>182</v>
      </c>
      <c r="B27" s="200"/>
      <c r="C27" s="200"/>
      <c r="D27" s="216">
        <f>D26*45</f>
        <v>3300587.9999999995</v>
      </c>
      <c r="E27" s="205"/>
      <c r="F27" s="205"/>
      <c r="G27" s="216">
        <f>G26*45</f>
        <v>3494475</v>
      </c>
      <c r="H27" s="205"/>
      <c r="I27" s="205"/>
      <c r="J27" s="216">
        <f>J26*45</f>
        <v>3598181.9999999995</v>
      </c>
    </row>
  </sheetData>
  <mergeCells count="12">
    <mergeCell ref="A2:C2"/>
    <mergeCell ref="A11:C11"/>
    <mergeCell ref="A20:C20"/>
    <mergeCell ref="B21:D21"/>
    <mergeCell ref="E21:G21"/>
    <mergeCell ref="H21:J21"/>
    <mergeCell ref="B3:D3"/>
    <mergeCell ref="E3:G3"/>
    <mergeCell ref="H3:J3"/>
    <mergeCell ref="B12:D12"/>
    <mergeCell ref="E12:G12"/>
    <mergeCell ref="H12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C3" sqref="C3"/>
    </sheetView>
  </sheetViews>
  <sheetFormatPr defaultRowHeight="14.5" x14ac:dyDescent="0.35"/>
  <cols>
    <col min="1" max="1" width="28.7265625" customWidth="1"/>
    <col min="2" max="2" width="12.453125" customWidth="1"/>
    <col min="3" max="3" width="10.81640625" customWidth="1"/>
    <col min="4" max="4" width="14.453125" customWidth="1"/>
    <col min="5" max="5" width="11.7265625" customWidth="1"/>
    <col min="6" max="6" width="11.1796875" customWidth="1"/>
    <col min="7" max="7" width="14.7265625" customWidth="1"/>
    <col min="8" max="8" width="12.1796875" customWidth="1"/>
    <col min="9" max="9" width="10.81640625" customWidth="1"/>
    <col min="10" max="10" width="16" customWidth="1"/>
    <col min="14" max="14" width="10.81640625" customWidth="1"/>
    <col min="15" max="15" width="15.81640625" customWidth="1"/>
  </cols>
  <sheetData>
    <row r="1" spans="1:10" ht="15" x14ac:dyDescent="0.35">
      <c r="B1" s="347" t="s">
        <v>163</v>
      </c>
      <c r="C1" s="348"/>
      <c r="D1" s="349"/>
      <c r="E1" s="347" t="s">
        <v>164</v>
      </c>
      <c r="F1" s="348"/>
      <c r="G1" s="349"/>
      <c r="H1" s="347" t="s">
        <v>180</v>
      </c>
      <c r="I1" s="348"/>
      <c r="J1" s="349"/>
    </row>
    <row r="2" spans="1:10" ht="15.5" x14ac:dyDescent="0.35">
      <c r="A2" s="124"/>
      <c r="B2" s="125" t="s">
        <v>173</v>
      </c>
      <c r="C2" s="125" t="s">
        <v>168</v>
      </c>
      <c r="D2" s="125" t="s">
        <v>169</v>
      </c>
      <c r="E2" s="125" t="s">
        <v>173</v>
      </c>
      <c r="F2" s="125" t="s">
        <v>168</v>
      </c>
      <c r="G2" s="125" t="s">
        <v>172</v>
      </c>
      <c r="H2" s="125" t="s">
        <v>174</v>
      </c>
      <c r="I2" s="125" t="s">
        <v>168</v>
      </c>
      <c r="J2" s="125" t="s">
        <v>169</v>
      </c>
    </row>
    <row r="3" spans="1:10" ht="15.5" x14ac:dyDescent="0.35">
      <c r="A3" s="125" t="s">
        <v>165</v>
      </c>
      <c r="B3" s="126">
        <v>0.3</v>
      </c>
      <c r="C3" s="124">
        <v>408</v>
      </c>
      <c r="D3" s="124">
        <f>C3*50</f>
        <v>20400</v>
      </c>
      <c r="E3" s="126">
        <v>0.2</v>
      </c>
      <c r="F3" s="124">
        <v>272</v>
      </c>
      <c r="G3" s="124">
        <f>F3*50</f>
        <v>13600</v>
      </c>
      <c r="H3" s="126">
        <v>0.2</v>
      </c>
      <c r="I3" s="124">
        <v>272</v>
      </c>
      <c r="J3" s="124">
        <f>I3*50</f>
        <v>13600</v>
      </c>
    </row>
    <row r="4" spans="1:10" ht="30" x14ac:dyDescent="0.35">
      <c r="A4" s="125" t="s">
        <v>166</v>
      </c>
      <c r="B4" s="126">
        <v>0.3</v>
      </c>
      <c r="C4" s="124">
        <v>408</v>
      </c>
      <c r="D4" s="124">
        <f>C4*70</f>
        <v>28560</v>
      </c>
      <c r="E4" s="126">
        <v>0.3</v>
      </c>
      <c r="F4" s="124">
        <v>408</v>
      </c>
      <c r="G4" s="124">
        <f>F4*70</f>
        <v>28560</v>
      </c>
      <c r="H4" s="126">
        <v>0.2</v>
      </c>
      <c r="I4" s="124">
        <v>272</v>
      </c>
      <c r="J4" s="124">
        <f>I4*70</f>
        <v>19040</v>
      </c>
    </row>
    <row r="5" spans="1:10" ht="30" x14ac:dyDescent="0.35">
      <c r="A5" s="125" t="s">
        <v>167</v>
      </c>
      <c r="B5" s="126">
        <v>0.4</v>
      </c>
      <c r="C5" s="124">
        <v>544</v>
      </c>
      <c r="D5" s="124">
        <f>C5*93</f>
        <v>50592</v>
      </c>
      <c r="E5" s="126">
        <v>0.5</v>
      </c>
      <c r="F5" s="124">
        <v>680</v>
      </c>
      <c r="G5" s="124">
        <f>F5*93</f>
        <v>63240</v>
      </c>
      <c r="H5" s="126">
        <v>0.6</v>
      </c>
      <c r="I5" s="124">
        <v>816</v>
      </c>
      <c r="J5" s="124">
        <f>I5*93</f>
        <v>75888</v>
      </c>
    </row>
    <row r="6" spans="1:10" ht="15.5" x14ac:dyDescent="0.35">
      <c r="A6" s="125" t="s">
        <v>171</v>
      </c>
      <c r="B6" s="126">
        <v>1</v>
      </c>
      <c r="C6" s="127">
        <v>1360</v>
      </c>
      <c r="D6" s="124">
        <f>SUM(D3:D5)</f>
        <v>99552</v>
      </c>
      <c r="E6" s="126">
        <v>1</v>
      </c>
      <c r="F6" s="127">
        <v>1360</v>
      </c>
      <c r="G6" s="124">
        <f>SUM(G3:G5)</f>
        <v>105400</v>
      </c>
      <c r="H6" s="126">
        <v>1</v>
      </c>
      <c r="I6" s="127">
        <v>1360</v>
      </c>
      <c r="J6" s="124">
        <f>SUM(J3:J5)</f>
        <v>108528</v>
      </c>
    </row>
    <row r="7" spans="1:10" ht="15.5" x14ac:dyDescent="0.35">
      <c r="A7" s="125" t="s">
        <v>170</v>
      </c>
      <c r="B7" s="124"/>
      <c r="C7" s="124"/>
      <c r="D7" s="128">
        <f>D6*45</f>
        <v>4479840</v>
      </c>
      <c r="E7" s="125"/>
      <c r="F7" s="125"/>
      <c r="G7" s="128">
        <f>G6*45</f>
        <v>4743000</v>
      </c>
      <c r="H7" s="125"/>
      <c r="I7" s="125"/>
      <c r="J7" s="128">
        <f>J6*45</f>
        <v>4883760</v>
      </c>
    </row>
    <row r="10" spans="1:10" ht="15" x14ac:dyDescent="0.35">
      <c r="B10" s="347" t="s">
        <v>163</v>
      </c>
      <c r="C10" s="348"/>
      <c r="D10" s="349"/>
      <c r="E10" s="347" t="s">
        <v>164</v>
      </c>
      <c r="F10" s="348"/>
      <c r="G10" s="349"/>
      <c r="H10" s="347" t="s">
        <v>180</v>
      </c>
      <c r="I10" s="348"/>
      <c r="J10" s="349"/>
    </row>
    <row r="11" spans="1:10" ht="15.5" x14ac:dyDescent="0.35">
      <c r="A11" s="124"/>
      <c r="B11" s="125" t="s">
        <v>173</v>
      </c>
      <c r="C11" s="125" t="s">
        <v>168</v>
      </c>
      <c r="D11" s="125" t="s">
        <v>169</v>
      </c>
      <c r="E11" s="125" t="s">
        <v>173</v>
      </c>
      <c r="F11" s="125" t="s">
        <v>168</v>
      </c>
      <c r="G11" s="125" t="s">
        <v>172</v>
      </c>
      <c r="H11" s="125" t="s">
        <v>174</v>
      </c>
      <c r="I11" s="125" t="s">
        <v>168</v>
      </c>
      <c r="J11" s="125" t="s">
        <v>169</v>
      </c>
    </row>
    <row r="12" spans="1:10" ht="15.5" x14ac:dyDescent="0.35">
      <c r="A12" s="125" t="s">
        <v>165</v>
      </c>
      <c r="B12" s="126">
        <v>0.3</v>
      </c>
      <c r="C12" s="124">
        <v>124.8</v>
      </c>
      <c r="D12" s="124">
        <f>C12*50</f>
        <v>6240</v>
      </c>
      <c r="E12" s="126">
        <v>0.2</v>
      </c>
      <c r="F12" s="124">
        <v>83.2</v>
      </c>
      <c r="G12" s="124">
        <f>F12*50</f>
        <v>4160</v>
      </c>
      <c r="H12" s="126">
        <v>0.2</v>
      </c>
      <c r="I12" s="124">
        <v>83.2</v>
      </c>
      <c r="J12" s="124">
        <f>I12*50</f>
        <v>4160</v>
      </c>
    </row>
    <row r="13" spans="1:10" ht="30" x14ac:dyDescent="0.35">
      <c r="A13" s="125" t="s">
        <v>166</v>
      </c>
      <c r="B13" s="126">
        <v>0.3</v>
      </c>
      <c r="C13" s="124">
        <v>124.8</v>
      </c>
      <c r="D13" s="124">
        <f>C13*70</f>
        <v>8736</v>
      </c>
      <c r="E13" s="126">
        <v>0.3</v>
      </c>
      <c r="F13" s="124">
        <v>124.8</v>
      </c>
      <c r="G13" s="124">
        <f>F13*70</f>
        <v>8736</v>
      </c>
      <c r="H13" s="126">
        <v>0.2</v>
      </c>
      <c r="I13" s="124">
        <v>83.2</v>
      </c>
      <c r="J13" s="124">
        <f>I13*70</f>
        <v>5824</v>
      </c>
    </row>
    <row r="14" spans="1:10" ht="30" x14ac:dyDescent="0.35">
      <c r="A14" s="125" t="s">
        <v>167</v>
      </c>
      <c r="B14" s="126">
        <v>0.4</v>
      </c>
      <c r="C14" s="124">
        <v>166.4</v>
      </c>
      <c r="D14" s="124">
        <f>C14*93</f>
        <v>15475.2</v>
      </c>
      <c r="E14" s="126">
        <v>0.5</v>
      </c>
      <c r="F14" s="124">
        <v>208</v>
      </c>
      <c r="G14" s="124">
        <f>F14*93</f>
        <v>19344</v>
      </c>
      <c r="H14" s="126">
        <v>0.6</v>
      </c>
      <c r="I14" s="124">
        <v>249.6</v>
      </c>
      <c r="J14" s="124">
        <f>I14*93</f>
        <v>23212.799999999999</v>
      </c>
    </row>
    <row r="15" spans="1:10" ht="15.5" x14ac:dyDescent="0.35">
      <c r="A15" s="125" t="s">
        <v>171</v>
      </c>
      <c r="B15" s="126">
        <v>1</v>
      </c>
      <c r="C15" s="127">
        <v>416</v>
      </c>
      <c r="D15" s="124">
        <f>SUM(D12:D14)</f>
        <v>30451.200000000001</v>
      </c>
      <c r="E15" s="126">
        <v>1</v>
      </c>
      <c r="F15" s="127">
        <v>416</v>
      </c>
      <c r="G15" s="124">
        <f>SUM(G12:G14)</f>
        <v>32240</v>
      </c>
      <c r="H15" s="126">
        <v>1</v>
      </c>
      <c r="I15" s="127">
        <v>416</v>
      </c>
      <c r="J15" s="124">
        <f>SUM(J12:J14)</f>
        <v>33196.800000000003</v>
      </c>
    </row>
    <row r="16" spans="1:10" ht="15.5" x14ac:dyDescent="0.35">
      <c r="A16" s="125" t="s">
        <v>170</v>
      </c>
      <c r="B16" s="124"/>
      <c r="C16" s="124"/>
      <c r="D16" s="128">
        <f>D15*45</f>
        <v>1370304</v>
      </c>
      <c r="E16" s="125"/>
      <c r="F16" s="125"/>
      <c r="G16" s="128">
        <f>G15*45</f>
        <v>1450800</v>
      </c>
      <c r="H16" s="125"/>
      <c r="I16" s="125"/>
      <c r="J16" s="128">
        <f>J15*45</f>
        <v>1493856.0000000002</v>
      </c>
    </row>
  </sheetData>
  <mergeCells count="6">
    <mergeCell ref="B1:D1"/>
    <mergeCell ref="E1:G1"/>
    <mergeCell ref="H1:J1"/>
    <mergeCell ref="B10:D10"/>
    <mergeCell ref="E10:G10"/>
    <mergeCell ref="H10:J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0"/>
  <sheetViews>
    <sheetView topLeftCell="A8" workbookViewId="0">
      <selection activeCell="D11" sqref="D11"/>
    </sheetView>
  </sheetViews>
  <sheetFormatPr defaultRowHeight="14.5" x14ac:dyDescent="0.35"/>
  <cols>
    <col min="2" max="2" width="27" customWidth="1"/>
    <col min="3" max="3" width="16.7265625" customWidth="1"/>
    <col min="4" max="4" width="20.54296875" customWidth="1"/>
  </cols>
  <sheetData>
    <row r="1" spans="2:7" ht="15" thickBot="1" x14ac:dyDescent="0.4"/>
    <row r="2" spans="2:7" x14ac:dyDescent="0.35">
      <c r="B2" s="357" t="s">
        <v>55</v>
      </c>
      <c r="C2" s="358"/>
      <c r="D2" s="359"/>
      <c r="F2" s="362"/>
      <c r="G2" s="362"/>
    </row>
    <row r="3" spans="2:7" x14ac:dyDescent="0.35">
      <c r="B3" s="40" t="s">
        <v>56</v>
      </c>
      <c r="C3" s="1" t="s">
        <v>79</v>
      </c>
      <c r="D3" s="45" t="s">
        <v>15</v>
      </c>
      <c r="F3" s="363" t="s">
        <v>187</v>
      </c>
      <c r="G3" s="363"/>
    </row>
    <row r="4" spans="2:7" ht="62.5" customHeight="1" x14ac:dyDescent="0.35">
      <c r="B4" s="46" t="s">
        <v>57</v>
      </c>
      <c r="C4" s="78" t="s">
        <v>80</v>
      </c>
      <c r="D4" s="79" t="s">
        <v>76</v>
      </c>
      <c r="F4" s="356" t="s">
        <v>150</v>
      </c>
      <c r="G4" s="356"/>
    </row>
    <row r="5" spans="2:7" ht="57" customHeight="1" x14ac:dyDescent="0.35">
      <c r="B5" s="46" t="s">
        <v>58</v>
      </c>
      <c r="C5" s="78" t="s">
        <v>81</v>
      </c>
      <c r="D5" s="79" t="s">
        <v>77</v>
      </c>
      <c r="F5" s="356" t="s">
        <v>151</v>
      </c>
      <c r="G5" s="356"/>
    </row>
    <row r="6" spans="2:7" ht="26.5" x14ac:dyDescent="0.35">
      <c r="B6" s="46" t="s">
        <v>59</v>
      </c>
      <c r="C6" s="80"/>
      <c r="D6" s="79" t="s">
        <v>82</v>
      </c>
      <c r="F6" s="356" t="s">
        <v>151</v>
      </c>
      <c r="G6" s="356"/>
    </row>
    <row r="7" spans="2:7" ht="26.5" x14ac:dyDescent="0.35">
      <c r="B7" s="59" t="s">
        <v>60</v>
      </c>
      <c r="C7" s="78" t="s">
        <v>91</v>
      </c>
      <c r="D7" s="79" t="s">
        <v>92</v>
      </c>
      <c r="F7" s="356" t="s">
        <v>186</v>
      </c>
      <c r="G7" s="356"/>
    </row>
    <row r="8" spans="2:7" ht="26.5" x14ac:dyDescent="0.35">
      <c r="B8" s="59" t="s">
        <v>61</v>
      </c>
      <c r="C8" s="78" t="s">
        <v>93</v>
      </c>
      <c r="D8" s="79" t="s">
        <v>92</v>
      </c>
      <c r="F8" s="356"/>
      <c r="G8" s="356"/>
    </row>
    <row r="9" spans="2:7" ht="26.5" x14ac:dyDescent="0.35">
      <c r="B9" s="59" t="s">
        <v>62</v>
      </c>
      <c r="C9" s="78" t="s">
        <v>97</v>
      </c>
      <c r="D9" s="79" t="s">
        <v>99</v>
      </c>
      <c r="F9" s="356"/>
      <c r="G9" s="356"/>
    </row>
    <row r="10" spans="2:7" ht="27" thickBot="1" x14ac:dyDescent="0.4">
      <c r="B10" s="59" t="s">
        <v>96</v>
      </c>
      <c r="C10" s="78" t="s">
        <v>98</v>
      </c>
      <c r="D10" s="79" t="s">
        <v>99</v>
      </c>
      <c r="F10" s="356"/>
      <c r="G10" s="356"/>
    </row>
    <row r="11" spans="2:7" ht="47.5" customHeight="1" x14ac:dyDescent="0.35">
      <c r="B11" s="47" t="s">
        <v>63</v>
      </c>
      <c r="C11" s="93" t="s">
        <v>158</v>
      </c>
      <c r="D11" s="93" t="s">
        <v>159</v>
      </c>
      <c r="F11" s="350" t="s">
        <v>152</v>
      </c>
      <c r="G11" s="351"/>
    </row>
    <row r="12" spans="2:7" ht="105" customHeight="1" x14ac:dyDescent="0.35">
      <c r="B12" s="47" t="s">
        <v>64</v>
      </c>
      <c r="C12" s="78" t="s">
        <v>160</v>
      </c>
      <c r="D12" s="78" t="s">
        <v>159</v>
      </c>
      <c r="F12" s="352"/>
      <c r="G12" s="353"/>
    </row>
    <row r="13" spans="2:7" ht="61.15" customHeight="1" x14ac:dyDescent="0.35">
      <c r="B13" s="47" t="s">
        <v>65</v>
      </c>
      <c r="C13" s="94" t="s">
        <v>161</v>
      </c>
      <c r="D13" s="95" t="s">
        <v>162</v>
      </c>
      <c r="F13" s="354"/>
      <c r="G13" s="355"/>
    </row>
    <row r="14" spans="2:7" ht="27.65" customHeight="1" x14ac:dyDescent="0.35">
      <c r="B14" s="48" t="s">
        <v>66</v>
      </c>
      <c r="C14" s="360" t="s">
        <v>103</v>
      </c>
      <c r="D14" s="361"/>
      <c r="F14" s="356" t="s">
        <v>149</v>
      </c>
      <c r="G14" s="356"/>
    </row>
    <row r="15" spans="2:7" ht="28.15" customHeight="1" x14ac:dyDescent="0.35">
      <c r="B15" s="48" t="s">
        <v>67</v>
      </c>
      <c r="C15" s="360" t="s">
        <v>103</v>
      </c>
      <c r="D15" s="361"/>
      <c r="F15" s="356"/>
      <c r="G15" s="356"/>
    </row>
    <row r="16" spans="2:7" ht="27" customHeight="1" x14ac:dyDescent="0.35">
      <c r="B16" s="48" t="s">
        <v>68</v>
      </c>
      <c r="C16" s="78" t="s">
        <v>83</v>
      </c>
      <c r="D16" s="79" t="s">
        <v>72</v>
      </c>
      <c r="F16" s="356" t="s">
        <v>178</v>
      </c>
      <c r="G16" s="356"/>
    </row>
    <row r="17" spans="2:7" ht="26.5" x14ac:dyDescent="0.35">
      <c r="B17" s="48" t="s">
        <v>175</v>
      </c>
      <c r="C17" s="83" t="s">
        <v>176</v>
      </c>
      <c r="D17" s="79" t="s">
        <v>177</v>
      </c>
      <c r="F17" s="356"/>
      <c r="G17" s="356"/>
    </row>
    <row r="18" spans="2:7" ht="27" customHeight="1" x14ac:dyDescent="0.35">
      <c r="B18" s="49" t="s">
        <v>69</v>
      </c>
      <c r="C18" s="83" t="s">
        <v>84</v>
      </c>
      <c r="D18" s="79" t="s">
        <v>73</v>
      </c>
      <c r="F18" s="356" t="s">
        <v>148</v>
      </c>
      <c r="G18" s="356"/>
    </row>
    <row r="19" spans="2:7" ht="26.5" x14ac:dyDescent="0.35">
      <c r="B19" s="49" t="s">
        <v>70</v>
      </c>
      <c r="C19" s="83" t="s">
        <v>153</v>
      </c>
      <c r="D19" s="79" t="s">
        <v>74</v>
      </c>
      <c r="F19" s="356"/>
      <c r="G19" s="356"/>
    </row>
    <row r="20" spans="2:7" ht="27" thickBot="1" x14ac:dyDescent="0.4">
      <c r="B20" s="50" t="s">
        <v>71</v>
      </c>
      <c r="C20" s="84" t="s">
        <v>154</v>
      </c>
      <c r="D20" s="81" t="s">
        <v>75</v>
      </c>
      <c r="F20" s="356"/>
      <c r="G20" s="356"/>
    </row>
    <row r="22" spans="2:7" hidden="1" x14ac:dyDescent="0.35">
      <c r="B22" t="s">
        <v>143</v>
      </c>
    </row>
    <row r="23" spans="2:7" hidden="1" x14ac:dyDescent="0.35"/>
    <row r="24" spans="2:7" hidden="1" x14ac:dyDescent="0.35">
      <c r="B24" t="s">
        <v>144</v>
      </c>
      <c r="C24" s="82">
        <v>119955</v>
      </c>
    </row>
    <row r="25" spans="2:7" hidden="1" x14ac:dyDescent="0.35">
      <c r="B25" t="s">
        <v>145</v>
      </c>
      <c r="C25" s="82">
        <v>52722</v>
      </c>
    </row>
    <row r="26" spans="2:7" hidden="1" x14ac:dyDescent="0.35">
      <c r="D26">
        <v>2.27</v>
      </c>
    </row>
    <row r="27" spans="2:7" hidden="1" x14ac:dyDescent="0.35"/>
    <row r="28" spans="2:7" hidden="1" x14ac:dyDescent="0.35">
      <c r="D28" t="s">
        <v>146</v>
      </c>
    </row>
    <row r="29" spans="2:7" hidden="1" x14ac:dyDescent="0.35"/>
    <row r="30" spans="2:7" hidden="1" x14ac:dyDescent="0.35">
      <c r="D30">
        <v>2.25</v>
      </c>
      <c r="E30" t="s">
        <v>147</v>
      </c>
    </row>
  </sheetData>
  <mergeCells count="13">
    <mergeCell ref="F11:G13"/>
    <mergeCell ref="F18:G20"/>
    <mergeCell ref="F16:G17"/>
    <mergeCell ref="B2:D2"/>
    <mergeCell ref="C14:D14"/>
    <mergeCell ref="C15:D15"/>
    <mergeCell ref="F7:G10"/>
    <mergeCell ref="F2:G2"/>
    <mergeCell ref="F3:G3"/>
    <mergeCell ref="F4:G4"/>
    <mergeCell ref="F5:G5"/>
    <mergeCell ref="F14:G15"/>
    <mergeCell ref="F6:G6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First 5yr Infrastructure</vt:lpstr>
      <vt:lpstr>Growth</vt:lpstr>
      <vt:lpstr>Plan Period Infrastructure</vt:lpstr>
      <vt:lpstr>CIL Forecast 2018</vt:lpstr>
      <vt:lpstr>CIL Forecast</vt:lpstr>
      <vt:lpstr>Assumptions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Hawtin</dc:creator>
  <cp:lastModifiedBy>Alex Hawtin</cp:lastModifiedBy>
  <cp:lastPrinted>2017-03-21T08:19:00Z</cp:lastPrinted>
  <dcterms:created xsi:type="dcterms:W3CDTF">2016-08-17T13:45:01Z</dcterms:created>
  <dcterms:modified xsi:type="dcterms:W3CDTF">2020-10-02T13:04:52Z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a3fd3-029b-403d-91b4-1dc930cb0e60_Enabled">
    <vt:lpwstr>true</vt:lpwstr>
  </property>
  <property fmtid="{D5CDD505-2E9C-101B-9397-08002B2CF9AE}" pid="3" name="MSIP_Label_82fa3fd3-029b-403d-91b4-1dc930cb0e60_SetDate">
    <vt:lpwstr>2020-10-02T13:04:52Z</vt:lpwstr>
  </property>
  <property fmtid="{D5CDD505-2E9C-101B-9397-08002B2CF9AE}" pid="4" name="MSIP_Label_82fa3fd3-029b-403d-91b4-1dc930cb0e60_Method">
    <vt:lpwstr>Standard</vt:lpwstr>
  </property>
  <property fmtid="{D5CDD505-2E9C-101B-9397-08002B2CF9AE}" pid="5" name="MSIP_Label_82fa3fd3-029b-403d-91b4-1dc930cb0e60_Name">
    <vt:lpwstr>82fa3fd3-029b-403d-91b4-1dc930cb0e60</vt:lpwstr>
  </property>
  <property fmtid="{D5CDD505-2E9C-101B-9397-08002B2CF9AE}" pid="6" name="MSIP_Label_82fa3fd3-029b-403d-91b4-1dc930cb0e60_SiteId">
    <vt:lpwstr>4ae48b41-0137-4599-8661-fc641fe77bea</vt:lpwstr>
  </property>
  <property fmtid="{D5CDD505-2E9C-101B-9397-08002B2CF9AE}" pid="7" name="MSIP_Label_82fa3fd3-029b-403d-91b4-1dc930cb0e60_ActionId">
    <vt:lpwstr>0346eb91-f6c7-45d1-a93e-0234399dde71</vt:lpwstr>
  </property>
  <property fmtid="{D5CDD505-2E9C-101B-9397-08002B2CF9AE}" pid="8" name="MSIP_Label_82fa3fd3-029b-403d-91b4-1dc930cb0e60_ContentBits">
    <vt:lpwstr>0</vt:lpwstr>
  </property>
</Properties>
</file>